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1490" windowHeight="4650" activeTab="1"/>
  </bookViews>
  <sheets>
    <sheet name="смета" sheetId="2" r:id="rId1"/>
    <sheet name="кварталы" sheetId="3" r:id="rId2"/>
  </sheets>
  <definedNames>
    <definedName name="_xlnm.Print_Area" localSheetId="1">кварталы!$A$1:$BA$17</definedName>
    <definedName name="_xlnm.Print_Area" localSheetId="0">смета!$A$2:$AZ$19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6" i="3"/>
  <c r="AU7"/>
  <c r="AU8"/>
  <c r="AU9"/>
  <c r="AU10"/>
  <c r="AU11"/>
  <c r="AU12"/>
  <c r="AU13"/>
  <c r="AU14"/>
  <c r="AU15"/>
  <c r="AU16"/>
  <c r="AU5"/>
  <c r="AP6"/>
  <c r="AP7"/>
  <c r="AP8"/>
  <c r="AP9"/>
  <c r="AP10"/>
  <c r="AP11"/>
  <c r="AP12"/>
  <c r="AP13"/>
  <c r="AP14"/>
  <c r="AP15"/>
  <c r="AP16"/>
  <c r="AP5"/>
  <c r="AL10"/>
  <c r="AK10"/>
  <c r="AK8"/>
  <c r="AJ6"/>
  <c r="AF6" s="1"/>
  <c r="AI6"/>
  <c r="AJ8"/>
  <c r="AH8"/>
  <c r="AF5"/>
  <c r="AF7"/>
  <c r="AF8"/>
  <c r="AF9"/>
  <c r="AF10"/>
  <c r="AF13"/>
  <c r="AF14"/>
  <c r="AF15"/>
  <c r="AF16"/>
  <c r="AA6"/>
  <c r="AA7"/>
  <c r="AA8"/>
  <c r="AA9"/>
  <c r="AA10"/>
  <c r="AA13"/>
  <c r="AA14"/>
  <c r="AA15"/>
  <c r="AA16"/>
  <c r="AA5"/>
  <c r="Z8"/>
  <c r="Y8"/>
  <c r="Z7"/>
  <c r="X7"/>
  <c r="Z5"/>
  <c r="W5"/>
  <c r="V5" s="1"/>
  <c r="V6"/>
  <c r="V7"/>
  <c r="V8"/>
  <c r="V9"/>
  <c r="V10"/>
  <c r="V11"/>
  <c r="V12"/>
  <c r="V13"/>
  <c r="V14"/>
  <c r="V15"/>
  <c r="V16"/>
  <c r="Q6"/>
  <c r="Q7"/>
  <c r="Q8"/>
  <c r="Q9"/>
  <c r="Q10"/>
  <c r="Q11"/>
  <c r="Q12"/>
  <c r="Q13"/>
  <c r="Q14"/>
  <c r="Q15"/>
  <c r="Q16"/>
  <c r="Q17"/>
  <c r="Q5"/>
  <c r="L5"/>
  <c r="G6"/>
  <c r="G7"/>
  <c r="G17" s="1"/>
  <c r="G8"/>
  <c r="G9"/>
  <c r="G10"/>
  <c r="G11"/>
  <c r="G12"/>
  <c r="G13"/>
  <c r="G14"/>
  <c r="G15"/>
  <c r="G16"/>
  <c r="G5"/>
  <c r="K7"/>
  <c r="K16"/>
  <c r="K15"/>
  <c r="J7"/>
  <c r="I15"/>
  <c r="H16"/>
  <c r="B5"/>
  <c r="V17" l="1"/>
  <c r="V6" i="2"/>
  <c r="L14"/>
  <c r="G13"/>
  <c r="V11"/>
  <c r="AU17"/>
  <c r="AU7"/>
  <c r="AU6"/>
  <c r="AZ19"/>
  <c r="AF15"/>
  <c r="AF11"/>
  <c r="AF9"/>
  <c r="V15"/>
  <c r="V9"/>
  <c r="V8"/>
  <c r="V7"/>
  <c r="G7"/>
  <c r="G8"/>
  <c r="G9"/>
  <c r="G10"/>
  <c r="G11"/>
  <c r="G12"/>
  <c r="G14"/>
  <c r="G15"/>
  <c r="G16"/>
  <c r="G17"/>
  <c r="G6"/>
  <c r="AF6"/>
  <c r="AF10"/>
  <c r="AF8"/>
  <c r="AF7"/>
  <c r="AF18"/>
  <c r="AA6"/>
  <c r="AA10"/>
  <c r="AA8"/>
  <c r="AA15"/>
  <c r="AA7"/>
  <c r="AA11"/>
  <c r="V17"/>
  <c r="L15"/>
  <c r="L10"/>
  <c r="L9"/>
  <c r="L8"/>
  <c r="L7"/>
  <c r="L6"/>
  <c r="C18"/>
  <c r="D18"/>
  <c r="E18"/>
  <c r="F18"/>
  <c r="H18"/>
  <c r="I18"/>
  <c r="J18"/>
  <c r="K18"/>
  <c r="L18"/>
  <c r="M18"/>
  <c r="N18"/>
  <c r="O18"/>
  <c r="P18"/>
  <c r="Q18"/>
  <c r="R18"/>
  <c r="S18"/>
  <c r="T18"/>
  <c r="U18"/>
  <c r="W18"/>
  <c r="X18"/>
  <c r="Y18"/>
  <c r="Z18"/>
  <c r="AA18"/>
  <c r="AB18"/>
  <c r="AC18"/>
  <c r="AD18"/>
  <c r="AE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U17" i="3"/>
  <c r="R17"/>
  <c r="AL17"/>
  <c r="AM17"/>
  <c r="AN17"/>
  <c r="AO17"/>
  <c r="AG17"/>
  <c r="AH17"/>
  <c r="AI17"/>
  <c r="AB17"/>
  <c r="AC17"/>
  <c r="AD17"/>
  <c r="X17"/>
  <c r="Y17"/>
  <c r="W17"/>
  <c r="S17"/>
  <c r="T17"/>
  <c r="M17"/>
  <c r="N17"/>
  <c r="O17"/>
  <c r="C17"/>
  <c r="D17"/>
  <c r="E17"/>
  <c r="AV17"/>
  <c r="AW17"/>
  <c r="AX17"/>
  <c r="AU17"/>
  <c r="AR17"/>
  <c r="AQ17"/>
  <c r="AS17"/>
  <c r="AP17"/>
  <c r="AK17"/>
  <c r="AJ17"/>
  <c r="AF17"/>
  <c r="AA17"/>
  <c r="V18" i="2" l="1"/>
  <c r="B18"/>
  <c r="J16" i="3"/>
  <c r="I16"/>
  <c r="H8"/>
  <c r="I8"/>
  <c r="J8"/>
  <c r="J15"/>
  <c r="H15"/>
  <c r="J14"/>
  <c r="I14"/>
  <c r="H14"/>
  <c r="J13"/>
  <c r="I13"/>
  <c r="H13"/>
  <c r="J12"/>
  <c r="I12"/>
  <c r="H12"/>
  <c r="J11"/>
  <c r="I11"/>
  <c r="H11"/>
  <c r="J10"/>
  <c r="I10"/>
  <c r="H10"/>
  <c r="J9"/>
  <c r="I9"/>
  <c r="H9"/>
  <c r="I7"/>
  <c r="H7"/>
  <c r="J6"/>
  <c r="I6"/>
  <c r="H6"/>
  <c r="AY17"/>
  <c r="AE17"/>
  <c r="Z17"/>
  <c r="K5"/>
  <c r="J5"/>
  <c r="J17" s="1"/>
  <c r="I5"/>
  <c r="H5"/>
  <c r="H17" l="1"/>
  <c r="I17"/>
  <c r="AZ5"/>
  <c r="AT17" l="1"/>
  <c r="BA5"/>
  <c r="AZ11" i="2"/>
  <c r="AY17"/>
  <c r="K17"/>
  <c r="J17"/>
  <c r="I17"/>
  <c r="H17"/>
  <c r="AZ8"/>
  <c r="AZ16"/>
  <c r="AZ14"/>
  <c r="AZ13"/>
  <c r="AZ15"/>
  <c r="AZ9"/>
  <c r="AY15"/>
  <c r="K15"/>
  <c r="J15"/>
  <c r="I15"/>
  <c r="H15"/>
  <c r="AY14"/>
  <c r="K14"/>
  <c r="J14"/>
  <c r="I14"/>
  <c r="H14"/>
  <c r="AY13"/>
  <c r="K13"/>
  <c r="J13"/>
  <c r="I13"/>
  <c r="H13"/>
  <c r="AY12"/>
  <c r="K12"/>
  <c r="J12"/>
  <c r="I12"/>
  <c r="H12"/>
  <c r="AY11"/>
  <c r="K11"/>
  <c r="J11"/>
  <c r="I11"/>
  <c r="H11"/>
  <c r="AW10"/>
  <c r="AX10" s="1"/>
  <c r="AY10" s="1"/>
  <c r="K10"/>
  <c r="J10"/>
  <c r="I10"/>
  <c r="H10"/>
  <c r="AW9"/>
  <c r="K9"/>
  <c r="J9"/>
  <c r="I9"/>
  <c r="H9"/>
  <c r="AY8"/>
  <c r="K8"/>
  <c r="J8"/>
  <c r="I8"/>
  <c r="AY7"/>
  <c r="K7"/>
  <c r="J7"/>
  <c r="I7"/>
  <c r="H7"/>
  <c r="AY6"/>
  <c r="K6"/>
  <c r="J6"/>
  <c r="I6"/>
  <c r="H6"/>
  <c r="AY18" l="1"/>
  <c r="AZ6"/>
  <c r="G18"/>
  <c r="AZ12"/>
  <c r="AZ10"/>
  <c r="AZ7"/>
  <c r="AZ17"/>
  <c r="AX9"/>
  <c r="AZ18" l="1"/>
  <c r="AZ20" s="1"/>
  <c r="AY9"/>
  <c r="F17" i="3"/>
  <c r="K8"/>
  <c r="B10"/>
  <c r="K10"/>
  <c r="B13"/>
  <c r="K13"/>
  <c r="B14"/>
  <c r="K14"/>
  <c r="B7"/>
  <c r="B16"/>
  <c r="B8"/>
  <c r="B6"/>
  <c r="K6"/>
  <c r="B15"/>
  <c r="B11"/>
  <c r="K11"/>
  <c r="B9"/>
  <c r="K9"/>
  <c r="B12"/>
  <c r="K12"/>
  <c r="B17" l="1"/>
  <c r="K17"/>
  <c r="BA9"/>
  <c r="BA13"/>
  <c r="P17"/>
  <c r="BA10"/>
  <c r="BA14"/>
  <c r="BA8"/>
  <c r="AZ15"/>
  <c r="BA11"/>
  <c r="L14"/>
  <c r="AZ14" s="1"/>
  <c r="L7"/>
  <c r="AZ7" s="1"/>
  <c r="BA7"/>
  <c r="AZ11"/>
  <c r="L9"/>
  <c r="AZ9" s="1"/>
  <c r="BA6"/>
  <c r="BA15"/>
  <c r="BA12"/>
  <c r="AZ12"/>
  <c r="BA16"/>
  <c r="L8"/>
  <c r="AZ8"/>
  <c r="AZ16"/>
  <c r="L13"/>
  <c r="AZ13" s="1"/>
  <c r="AZ10"/>
  <c r="L6"/>
  <c r="BB17" l="1"/>
  <c r="BA17"/>
  <c r="L17"/>
  <c r="AZ6"/>
  <c r="AZ17" s="1"/>
</calcChain>
</file>

<file path=xl/sharedStrings.xml><?xml version="1.0" encoding="utf-8"?>
<sst xmlns="http://schemas.openxmlformats.org/spreadsheetml/2006/main" count="48" uniqueCount="27">
  <si>
    <t>ИТОГО ЗАТРАТ</t>
  </si>
  <si>
    <t>Зарплата</t>
  </si>
  <si>
    <t>ЕСН</t>
  </si>
  <si>
    <t>итого</t>
  </si>
  <si>
    <t>Итого</t>
  </si>
  <si>
    <t xml:space="preserve">Итого </t>
  </si>
  <si>
    <t>МБДОУ Воеводский детский сад "Калинка"</t>
  </si>
  <si>
    <t>МБДОУ Марушинский детский сад "Петушок"</t>
  </si>
  <si>
    <t>МБДОУ Бочкаревский детский сад "Аленушка"</t>
  </si>
  <si>
    <t>МБДОУ Целинный детский сад №1 "Ромашка"</t>
  </si>
  <si>
    <t>МБДОУ Целинный детский сад №2 "Светлячок"</t>
  </si>
  <si>
    <t>МБДОУ Целинный детский сад №4"Теремок"</t>
  </si>
  <si>
    <t>МБДОУ Дружбинский детский сад "Ягодка"</t>
  </si>
  <si>
    <t>Итого общее по садам</t>
  </si>
  <si>
    <t>МБДОУ Еландинский детский сад "Капелька"</t>
  </si>
  <si>
    <t>МБДОУ Шалапский детский сад "Солнышко"</t>
  </si>
  <si>
    <t>МБДОУ Верх-Марушинский детский сад "Колокольчик"</t>
  </si>
  <si>
    <t>МБДОУ Ложкинский детский сад "Петушок"</t>
  </si>
  <si>
    <t>МБДОУ Побединский детский сад "Солнышко"</t>
  </si>
  <si>
    <t>221 итого</t>
  </si>
  <si>
    <t>222 Итого</t>
  </si>
  <si>
    <t>223 Итого</t>
  </si>
  <si>
    <t>225 Итого</t>
  </si>
  <si>
    <t>226 Итого</t>
  </si>
  <si>
    <t>290 Итого</t>
  </si>
  <si>
    <t>310 Итого</t>
  </si>
  <si>
    <t>340 Итого</t>
  </si>
</sst>
</file>

<file path=xl/styles.xml><?xml version="1.0" encoding="utf-8"?>
<styleSheet xmlns="http://schemas.openxmlformats.org/spreadsheetml/2006/main">
  <numFmts count="1">
    <numFmt numFmtId="164" formatCode="#,##0_р_.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textRotation="90"/>
    </xf>
    <xf numFmtId="0" fontId="2" fillId="2" borderId="6" xfId="0" applyFont="1" applyFill="1" applyBorder="1" applyAlignment="1">
      <alignment horizontal="center" textRotation="90"/>
    </xf>
    <xf numFmtId="0" fontId="2" fillId="2" borderId="0" xfId="0" applyFont="1" applyFill="1" applyAlignment="1">
      <alignment horizontal="center" textRotation="90"/>
    </xf>
    <xf numFmtId="164" fontId="4" fillId="2" borderId="1" xfId="1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/>
    <xf numFmtId="0" fontId="2" fillId="2" borderId="1" xfId="0" applyFont="1" applyFill="1" applyBorder="1"/>
    <xf numFmtId="0" fontId="1" fillId="3" borderId="1" xfId="0" applyFont="1" applyFill="1" applyBorder="1"/>
    <xf numFmtId="164" fontId="5" fillId="2" borderId="1" xfId="0" applyNumberFormat="1" applyFont="1" applyFill="1" applyBorder="1"/>
    <xf numFmtId="164" fontId="5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textRotation="90"/>
    </xf>
    <xf numFmtId="0" fontId="4" fillId="2" borderId="7" xfId="1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4" borderId="0" xfId="0" applyFill="1"/>
    <xf numFmtId="164" fontId="0" fillId="4" borderId="0" xfId="0" applyNumberFormat="1" applyFill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7" xfId="1" applyFont="1" applyFill="1" applyBorder="1" applyAlignment="1"/>
    <xf numFmtId="0" fontId="7" fillId="2" borderId="8" xfId="1" applyFont="1" applyFill="1" applyBorder="1" applyAlignment="1"/>
    <xf numFmtId="0" fontId="7" fillId="2" borderId="1" xfId="1" applyFont="1" applyFill="1" applyBorder="1" applyAlignment="1"/>
    <xf numFmtId="0" fontId="8" fillId="2" borderId="7" xfId="1" applyFont="1" applyFill="1" applyBorder="1" applyAlignment="1"/>
    <xf numFmtId="0" fontId="8" fillId="2" borderId="8" xfId="1" applyFont="1" applyFill="1" applyBorder="1" applyAlignment="1"/>
    <xf numFmtId="0" fontId="8" fillId="2" borderId="1" xfId="1" applyFont="1" applyFill="1" applyBorder="1" applyAlignment="1"/>
    <xf numFmtId="0" fontId="9" fillId="3" borderId="2" xfId="1" applyFont="1" applyFill="1" applyBorder="1" applyAlignment="1">
      <alignment wrapText="1"/>
    </xf>
    <xf numFmtId="164" fontId="6" fillId="2" borderId="4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textRotation="90"/>
    </xf>
    <xf numFmtId="0" fontId="11" fillId="3" borderId="2" xfId="1" applyFont="1" applyFill="1" applyBorder="1" applyAlignment="1">
      <alignment wrapText="1"/>
    </xf>
    <xf numFmtId="0" fontId="13" fillId="0" borderId="0" xfId="0" applyFont="1"/>
    <xf numFmtId="0" fontId="10" fillId="2" borderId="0" xfId="0" applyFont="1" applyFill="1"/>
    <xf numFmtId="0" fontId="14" fillId="3" borderId="0" xfId="0" applyFont="1" applyFill="1"/>
    <xf numFmtId="0" fontId="10" fillId="3" borderId="0" xfId="0" applyFont="1" applyFill="1"/>
    <xf numFmtId="0" fontId="10" fillId="2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textRotation="90"/>
    </xf>
    <xf numFmtId="0" fontId="10" fillId="2" borderId="1" xfId="0" applyFont="1" applyFill="1" applyBorder="1" applyAlignment="1">
      <alignment horizontal="center" textRotation="90"/>
    </xf>
    <xf numFmtId="0" fontId="14" fillId="2" borderId="1" xfId="0" applyFont="1" applyFill="1" applyBorder="1" applyAlignment="1">
      <alignment horizontal="center" textRotation="90"/>
    </xf>
    <xf numFmtId="0" fontId="10" fillId="2" borderId="6" xfId="0" applyFont="1" applyFill="1" applyBorder="1" applyAlignment="1">
      <alignment horizontal="center" textRotation="90"/>
    </xf>
    <xf numFmtId="0" fontId="10" fillId="2" borderId="4" xfId="0" applyFont="1" applyFill="1" applyBorder="1" applyAlignment="1">
      <alignment horizontal="center" textRotation="90"/>
    </xf>
    <xf numFmtId="164" fontId="15" fillId="3" borderId="1" xfId="1" applyNumberFormat="1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164" fontId="10" fillId="2" borderId="4" xfId="0" applyNumberFormat="1" applyFont="1" applyFill="1" applyBorder="1"/>
    <xf numFmtId="164" fontId="10" fillId="2" borderId="1" xfId="0" applyNumberFormat="1" applyFont="1" applyFill="1" applyBorder="1"/>
    <xf numFmtId="164" fontId="14" fillId="5" borderId="1" xfId="0" applyNumberFormat="1" applyFont="1" applyFill="1" applyBorder="1" applyAlignment="1">
      <alignment horizontal="center" vertical="center"/>
    </xf>
    <xf numFmtId="164" fontId="14" fillId="3" borderId="4" xfId="0" applyNumberFormat="1" applyFont="1" applyFill="1" applyBorder="1"/>
    <xf numFmtId="164" fontId="10" fillId="2" borderId="5" xfId="0" applyNumberFormat="1" applyFont="1" applyFill="1" applyBorder="1" applyAlignment="1">
      <alignment horizontal="center" vertical="center"/>
    </xf>
    <xf numFmtId="164" fontId="14" fillId="3" borderId="4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6" borderId="5" xfId="0" applyNumberFormat="1" applyFont="1" applyFill="1" applyBorder="1" applyAlignment="1">
      <alignment horizontal="center" vertical="center"/>
    </xf>
    <xf numFmtId="164" fontId="5" fillId="6" borderId="9" xfId="0" applyNumberFormat="1" applyFont="1" applyFill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/>
    </xf>
    <xf numFmtId="164" fontId="5" fillId="6" borderId="4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 textRotation="90"/>
    </xf>
    <xf numFmtId="0" fontId="14" fillId="3" borderId="5" xfId="0" applyFont="1" applyFill="1" applyBorder="1" applyAlignment="1">
      <alignment horizontal="center" vertical="center" textRotation="90"/>
    </xf>
    <xf numFmtId="0" fontId="14" fillId="3" borderId="6" xfId="0" applyFont="1" applyFill="1" applyBorder="1" applyAlignment="1">
      <alignment horizontal="center" vertical="center" textRotation="90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D23"/>
  <sheetViews>
    <sheetView topLeftCell="A4" workbookViewId="0">
      <pane xSplit="1" topLeftCell="AU1" activePane="topRight" state="frozen"/>
      <selection pane="topRight" activeCell="AU17" sqref="AU17"/>
    </sheetView>
  </sheetViews>
  <sheetFormatPr defaultRowHeight="15"/>
  <cols>
    <col min="1" max="1" width="44.42578125" customWidth="1"/>
    <col min="2" max="2" width="15.42578125" customWidth="1"/>
    <col min="3" max="3" width="3.42578125" hidden="1" customWidth="1"/>
    <col min="4" max="4" width="5" hidden="1" customWidth="1"/>
    <col min="5" max="5" width="4.42578125" hidden="1" customWidth="1"/>
    <col min="6" max="6" width="9.5703125" hidden="1" customWidth="1"/>
    <col min="7" max="7" width="15.7109375" customWidth="1"/>
    <col min="8" max="8" width="0.140625" customWidth="1"/>
    <col min="9" max="11" width="9.140625" hidden="1" customWidth="1"/>
    <col min="12" max="12" width="9.7109375" customWidth="1"/>
    <col min="13" max="16" width="9.140625" hidden="1" customWidth="1"/>
    <col min="17" max="17" width="10.28515625" customWidth="1"/>
    <col min="18" max="21" width="9.140625" hidden="1" customWidth="1"/>
    <col min="22" max="22" width="10" customWidth="1"/>
    <col min="23" max="23" width="0.140625" hidden="1" customWidth="1"/>
    <col min="24" max="26" width="9.140625" hidden="1" customWidth="1"/>
    <col min="28" max="31" width="9.140625" hidden="1" customWidth="1"/>
    <col min="33" max="36" width="9.140625" hidden="1" customWidth="1"/>
    <col min="37" max="37" width="8.85546875" customWidth="1"/>
    <col min="38" max="41" width="9.140625" hidden="1" customWidth="1"/>
    <col min="42" max="42" width="8.5703125" customWidth="1"/>
    <col min="43" max="46" width="9.140625" hidden="1" customWidth="1"/>
    <col min="47" max="47" width="12.140625" customWidth="1"/>
    <col min="48" max="48" width="0.140625" customWidth="1"/>
    <col min="49" max="51" width="9.140625" hidden="1" customWidth="1"/>
    <col min="52" max="52" width="15.140625" customWidth="1"/>
  </cols>
  <sheetData>
    <row r="1" spans="1:82" s="1" customFormat="1">
      <c r="A1" s="15"/>
    </row>
    <row r="2" spans="1:82" s="1" customFormat="1">
      <c r="A2" s="15"/>
    </row>
    <row r="3" spans="1:82" s="2" customFormat="1" ht="15" customHeight="1">
      <c r="A3" s="16"/>
      <c r="B3" s="27">
        <v>211</v>
      </c>
      <c r="C3" s="73">
        <v>211</v>
      </c>
      <c r="D3" s="74"/>
      <c r="E3" s="74"/>
      <c r="F3" s="75"/>
      <c r="G3" s="27">
        <v>213</v>
      </c>
      <c r="H3" s="73"/>
      <c r="I3" s="74"/>
      <c r="J3" s="74"/>
      <c r="K3" s="75"/>
      <c r="L3" s="26">
        <v>221</v>
      </c>
      <c r="M3" s="73">
        <v>221</v>
      </c>
      <c r="N3" s="74"/>
      <c r="O3" s="74"/>
      <c r="P3" s="75"/>
      <c r="Q3" s="26">
        <v>222</v>
      </c>
      <c r="R3" s="73">
        <v>222</v>
      </c>
      <c r="S3" s="74"/>
      <c r="T3" s="74"/>
      <c r="U3" s="74"/>
      <c r="V3" s="25">
        <v>223</v>
      </c>
      <c r="W3" s="74">
        <v>223</v>
      </c>
      <c r="X3" s="74"/>
      <c r="Y3" s="74"/>
      <c r="Z3" s="74"/>
      <c r="AA3" s="26">
        <v>225</v>
      </c>
      <c r="AB3" s="73">
        <v>225</v>
      </c>
      <c r="AC3" s="74"/>
      <c r="AD3" s="74"/>
      <c r="AE3" s="75"/>
      <c r="AF3" s="26">
        <v>226</v>
      </c>
      <c r="AG3" s="73">
        <v>226</v>
      </c>
      <c r="AH3" s="74"/>
      <c r="AI3" s="74"/>
      <c r="AJ3" s="75"/>
      <c r="AK3" s="26">
        <v>290</v>
      </c>
      <c r="AL3" s="73">
        <v>290</v>
      </c>
      <c r="AM3" s="74"/>
      <c r="AN3" s="74"/>
      <c r="AO3" s="75"/>
      <c r="AP3" s="26">
        <v>310</v>
      </c>
      <c r="AQ3" s="73">
        <v>310</v>
      </c>
      <c r="AR3" s="74"/>
      <c r="AS3" s="74"/>
      <c r="AT3" s="75"/>
      <c r="AU3" s="26">
        <v>340</v>
      </c>
      <c r="AV3" s="76">
        <v>340</v>
      </c>
      <c r="AW3" s="76"/>
      <c r="AX3" s="76"/>
      <c r="AY3" s="76"/>
      <c r="AZ3" s="77" t="s">
        <v>0</v>
      </c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</row>
    <row r="4" spans="1:82" s="6" customFormat="1" ht="88.5" customHeight="1" thickBot="1">
      <c r="A4" s="17"/>
      <c r="B4" s="3" t="s">
        <v>1</v>
      </c>
      <c r="C4" s="3">
        <v>1</v>
      </c>
      <c r="D4" s="3">
        <v>2</v>
      </c>
      <c r="E4" s="3">
        <v>3</v>
      </c>
      <c r="F4" s="3">
        <v>4</v>
      </c>
      <c r="G4" s="3" t="s">
        <v>2</v>
      </c>
      <c r="H4" s="3">
        <v>1</v>
      </c>
      <c r="I4" s="3">
        <v>2</v>
      </c>
      <c r="J4" s="3">
        <v>3</v>
      </c>
      <c r="K4" s="3">
        <v>4</v>
      </c>
      <c r="L4" s="4" t="s">
        <v>3</v>
      </c>
      <c r="M4" s="4">
        <v>1</v>
      </c>
      <c r="N4" s="4">
        <v>2</v>
      </c>
      <c r="O4" s="4">
        <v>3</v>
      </c>
      <c r="P4" s="4">
        <v>4</v>
      </c>
      <c r="Q4" s="4" t="s">
        <v>4</v>
      </c>
      <c r="R4" s="4">
        <v>1</v>
      </c>
      <c r="S4" s="4">
        <v>2</v>
      </c>
      <c r="T4" s="4">
        <v>3</v>
      </c>
      <c r="U4" s="4">
        <v>4</v>
      </c>
      <c r="V4" s="4" t="s">
        <v>4</v>
      </c>
      <c r="W4" s="4">
        <v>1</v>
      </c>
      <c r="X4" s="4">
        <v>2</v>
      </c>
      <c r="Y4" s="4">
        <v>3</v>
      </c>
      <c r="Z4" s="4">
        <v>4</v>
      </c>
      <c r="AA4" s="4" t="s">
        <v>4</v>
      </c>
      <c r="AB4" s="4">
        <v>1</v>
      </c>
      <c r="AC4" s="4">
        <v>2</v>
      </c>
      <c r="AD4" s="4">
        <v>3</v>
      </c>
      <c r="AE4" s="4">
        <v>4</v>
      </c>
      <c r="AF4" s="4" t="s">
        <v>4</v>
      </c>
      <c r="AG4" s="4">
        <v>1</v>
      </c>
      <c r="AH4" s="4">
        <v>2</v>
      </c>
      <c r="AI4" s="4">
        <v>3</v>
      </c>
      <c r="AJ4" s="4">
        <v>4</v>
      </c>
      <c r="AK4" s="4" t="s">
        <v>4</v>
      </c>
      <c r="AL4" s="4"/>
      <c r="AM4" s="4"/>
      <c r="AN4" s="4"/>
      <c r="AO4" s="4"/>
      <c r="AP4" s="4" t="s">
        <v>4</v>
      </c>
      <c r="AQ4" s="4">
        <v>1</v>
      </c>
      <c r="AR4" s="4">
        <v>2</v>
      </c>
      <c r="AS4" s="4">
        <v>3</v>
      </c>
      <c r="AT4" s="4">
        <v>4</v>
      </c>
      <c r="AU4" s="3" t="s">
        <v>4</v>
      </c>
      <c r="AV4" s="5">
        <v>1</v>
      </c>
      <c r="AW4" s="5">
        <v>2</v>
      </c>
      <c r="AX4" s="5">
        <v>3</v>
      </c>
      <c r="AY4" s="5">
        <v>4</v>
      </c>
      <c r="AZ4" s="78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</row>
    <row r="5" spans="1:82" s="1" customFormat="1" ht="0.75" customHeight="1" thickBot="1">
      <c r="A5" s="18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</row>
    <row r="6" spans="1:82" s="1" customFormat="1" ht="18" customHeight="1" thickBot="1">
      <c r="A6" s="31" t="s">
        <v>15</v>
      </c>
      <c r="B6" s="70">
        <v>1188000</v>
      </c>
      <c r="C6" s="7"/>
      <c r="D6" s="7"/>
      <c r="E6" s="7"/>
      <c r="F6" s="7"/>
      <c r="G6" s="7">
        <f>B6*30.2%</f>
        <v>358776</v>
      </c>
      <c r="H6" s="7">
        <f t="shared" ref="H6:K7" si="0">C6*0.302</f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8">
        <f>684*12</f>
        <v>8208</v>
      </c>
      <c r="M6" s="8"/>
      <c r="N6" s="8"/>
      <c r="O6" s="8"/>
      <c r="P6" s="8"/>
      <c r="Q6" s="66">
        <v>500</v>
      </c>
      <c r="R6" s="8"/>
      <c r="S6" s="8"/>
      <c r="T6" s="8"/>
      <c r="U6" s="8"/>
      <c r="V6" s="8">
        <f>7500*12+39+20</f>
        <v>90059</v>
      </c>
      <c r="W6" s="8"/>
      <c r="X6" s="8"/>
      <c r="Y6" s="8"/>
      <c r="Z6" s="8"/>
      <c r="AA6" s="8">
        <f>2300*12</f>
        <v>27600</v>
      </c>
      <c r="AB6" s="8"/>
      <c r="AC6" s="8"/>
      <c r="AD6" s="8"/>
      <c r="AE6" s="8"/>
      <c r="AF6" s="8">
        <f>4000*12</f>
        <v>48000</v>
      </c>
      <c r="AG6" s="8"/>
      <c r="AH6" s="8"/>
      <c r="AI6" s="8"/>
      <c r="AJ6" s="8"/>
      <c r="AK6" s="8"/>
      <c r="AL6" s="8"/>
      <c r="AM6" s="8"/>
      <c r="AN6" s="8"/>
      <c r="AO6" s="8"/>
      <c r="AP6" s="8">
        <v>1000</v>
      </c>
      <c r="AQ6" s="8"/>
      <c r="AR6" s="8"/>
      <c r="AS6" s="8"/>
      <c r="AT6" s="8"/>
      <c r="AU6" s="8">
        <f>68*3500</f>
        <v>238000</v>
      </c>
      <c r="AV6" s="8">
        <v>30000</v>
      </c>
      <c r="AW6" s="8">
        <v>30000</v>
      </c>
      <c r="AX6" s="8">
        <v>30000</v>
      </c>
      <c r="AY6" s="8">
        <f t="shared" ref="AY6:AY8" si="1">AU6-AX6-AW6-AV6</f>
        <v>148000</v>
      </c>
      <c r="AZ6" s="36">
        <f t="shared" ref="AZ6:AZ8" si="2">B6+G6+L6+Q6+V6+AA6+AF6+AK6+AP6+AU6</f>
        <v>1960143</v>
      </c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</row>
    <row r="7" spans="1:82" s="1" customFormat="1" ht="18" customHeight="1" thickBot="1">
      <c r="A7" s="31" t="s">
        <v>16</v>
      </c>
      <c r="B7" s="70">
        <v>1422000</v>
      </c>
      <c r="C7" s="7"/>
      <c r="D7" s="7"/>
      <c r="E7" s="7"/>
      <c r="F7" s="7"/>
      <c r="G7" s="7">
        <f t="shared" ref="G7:G17" si="3">B7*30.2%</f>
        <v>429444</v>
      </c>
      <c r="H7" s="7">
        <f t="shared" si="0"/>
        <v>0</v>
      </c>
      <c r="I7" s="7">
        <f t="shared" si="0"/>
        <v>0</v>
      </c>
      <c r="J7" s="7">
        <f t="shared" si="0"/>
        <v>0</v>
      </c>
      <c r="K7" s="7">
        <f t="shared" si="0"/>
        <v>0</v>
      </c>
      <c r="L7" s="8">
        <f>708*12</f>
        <v>8496</v>
      </c>
      <c r="M7" s="8"/>
      <c r="N7" s="8"/>
      <c r="O7" s="8"/>
      <c r="P7" s="8"/>
      <c r="Q7" s="66">
        <v>500</v>
      </c>
      <c r="R7" s="8"/>
      <c r="S7" s="8"/>
      <c r="T7" s="8"/>
      <c r="U7" s="8"/>
      <c r="V7" s="8">
        <f>8400*12-20000</f>
        <v>80800</v>
      </c>
      <c r="W7" s="8"/>
      <c r="X7" s="8"/>
      <c r="Y7" s="8"/>
      <c r="Z7" s="8"/>
      <c r="AA7" s="8">
        <f>3300*12</f>
        <v>39600</v>
      </c>
      <c r="AB7" s="8"/>
      <c r="AC7" s="8"/>
      <c r="AD7" s="8"/>
      <c r="AE7" s="8"/>
      <c r="AF7" s="8">
        <f>4000*12</f>
        <v>48000</v>
      </c>
      <c r="AG7" s="8"/>
      <c r="AH7" s="8"/>
      <c r="AI7" s="8"/>
      <c r="AJ7" s="8"/>
      <c r="AK7" s="8"/>
      <c r="AL7" s="8"/>
      <c r="AM7" s="8"/>
      <c r="AN7" s="8"/>
      <c r="AO7" s="8"/>
      <c r="AP7" s="8">
        <v>1000</v>
      </c>
      <c r="AQ7" s="8"/>
      <c r="AR7" s="8"/>
      <c r="AS7" s="8"/>
      <c r="AT7" s="8"/>
      <c r="AU7" s="8">
        <f>35*3500</f>
        <v>122500</v>
      </c>
      <c r="AV7" s="8">
        <v>24000</v>
      </c>
      <c r="AW7" s="8">
        <v>22000</v>
      </c>
      <c r="AX7" s="8">
        <v>22000</v>
      </c>
      <c r="AY7" s="8">
        <f t="shared" si="1"/>
        <v>54500</v>
      </c>
      <c r="AZ7" s="36">
        <f t="shared" si="2"/>
        <v>2152340</v>
      </c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</row>
    <row r="8" spans="1:82" s="1" customFormat="1" ht="18" customHeight="1" thickBot="1">
      <c r="A8" s="31" t="s">
        <v>17</v>
      </c>
      <c r="B8" s="70">
        <v>1172000</v>
      </c>
      <c r="C8" s="7"/>
      <c r="D8" s="7"/>
      <c r="E8" s="7"/>
      <c r="F8" s="7"/>
      <c r="G8" s="7">
        <f t="shared" si="3"/>
        <v>353944</v>
      </c>
      <c r="H8" s="7"/>
      <c r="I8" s="7">
        <f>D8*0.302</f>
        <v>0</v>
      </c>
      <c r="J8" s="7">
        <f>E8*0.302</f>
        <v>0</v>
      </c>
      <c r="K8" s="7">
        <f>F8*0.302</f>
        <v>0</v>
      </c>
      <c r="L8" s="8">
        <f>720*12</f>
        <v>8640</v>
      </c>
      <c r="M8" s="8"/>
      <c r="N8" s="8"/>
      <c r="O8" s="8"/>
      <c r="P8" s="8"/>
      <c r="Q8" s="66">
        <v>500</v>
      </c>
      <c r="R8" s="8"/>
      <c r="S8" s="8"/>
      <c r="T8" s="8"/>
      <c r="U8" s="8"/>
      <c r="V8" s="8">
        <f>4750*12-5000</f>
        <v>52000</v>
      </c>
      <c r="W8" s="8"/>
      <c r="X8" s="8"/>
      <c r="Y8" s="8"/>
      <c r="Z8" s="8"/>
      <c r="AA8" s="8">
        <f>1900*12</f>
        <v>22800</v>
      </c>
      <c r="AB8" s="8"/>
      <c r="AC8" s="8"/>
      <c r="AD8" s="8"/>
      <c r="AE8" s="8"/>
      <c r="AF8" s="8">
        <f>1600*12</f>
        <v>19200</v>
      </c>
      <c r="AG8" s="8"/>
      <c r="AH8" s="8"/>
      <c r="AI8" s="8"/>
      <c r="AJ8" s="8"/>
      <c r="AK8" s="8"/>
      <c r="AL8" s="8"/>
      <c r="AM8" s="8"/>
      <c r="AN8" s="8"/>
      <c r="AO8" s="8"/>
      <c r="AP8" s="8">
        <v>1000</v>
      </c>
      <c r="AQ8" s="8"/>
      <c r="AR8" s="8"/>
      <c r="AS8" s="8"/>
      <c r="AT8" s="8"/>
      <c r="AU8" s="8">
        <v>1000</v>
      </c>
      <c r="AV8" s="8">
        <v>30000</v>
      </c>
      <c r="AW8" s="8">
        <v>30000</v>
      </c>
      <c r="AX8" s="8">
        <v>30000</v>
      </c>
      <c r="AY8" s="8">
        <f t="shared" si="1"/>
        <v>-89000</v>
      </c>
      <c r="AZ8" s="36">
        <f t="shared" si="2"/>
        <v>1631084</v>
      </c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</row>
    <row r="9" spans="1:82" s="1" customFormat="1" ht="18" customHeight="1" thickBot="1">
      <c r="A9" s="31" t="s">
        <v>6</v>
      </c>
      <c r="B9" s="71">
        <v>1200000</v>
      </c>
      <c r="C9" s="12"/>
      <c r="D9" s="12"/>
      <c r="E9" s="12"/>
      <c r="F9" s="12"/>
      <c r="G9" s="7">
        <f t="shared" si="3"/>
        <v>362400</v>
      </c>
      <c r="H9" s="7">
        <f t="shared" ref="H9:K15" si="4">C9*0.302</f>
        <v>0</v>
      </c>
      <c r="I9" s="7">
        <f t="shared" si="4"/>
        <v>0</v>
      </c>
      <c r="J9" s="7">
        <f t="shared" si="4"/>
        <v>0</v>
      </c>
      <c r="K9" s="7">
        <f t="shared" si="4"/>
        <v>0</v>
      </c>
      <c r="L9" s="13">
        <f>508*12</f>
        <v>6096</v>
      </c>
      <c r="M9" s="13"/>
      <c r="N9" s="13"/>
      <c r="O9" s="13"/>
      <c r="P9" s="13"/>
      <c r="Q9" s="66"/>
      <c r="R9" s="8"/>
      <c r="S9" s="8"/>
      <c r="T9" s="8"/>
      <c r="U9" s="8"/>
      <c r="V9" s="8">
        <f>15000*12-30000</f>
        <v>150000</v>
      </c>
      <c r="W9" s="8"/>
      <c r="X9" s="8"/>
      <c r="Y9" s="8"/>
      <c r="Z9" s="8"/>
      <c r="AA9" s="8">
        <v>15000</v>
      </c>
      <c r="AB9" s="8"/>
      <c r="AC9" s="8"/>
      <c r="AD9" s="8"/>
      <c r="AE9" s="8"/>
      <c r="AF9" s="8">
        <f>50000-10000</f>
        <v>40000</v>
      </c>
      <c r="AG9" s="8"/>
      <c r="AH9" s="8"/>
      <c r="AI9" s="8"/>
      <c r="AJ9" s="8"/>
      <c r="AK9" s="8">
        <v>20000</v>
      </c>
      <c r="AL9" s="8"/>
      <c r="AM9" s="8"/>
      <c r="AN9" s="8"/>
      <c r="AO9" s="8"/>
      <c r="AP9" s="8">
        <v>1000</v>
      </c>
      <c r="AQ9" s="8"/>
      <c r="AR9" s="8"/>
      <c r="AS9" s="8"/>
      <c r="AT9" s="8"/>
      <c r="AU9" s="8">
        <v>1000</v>
      </c>
      <c r="AV9" s="8">
        <v>250</v>
      </c>
      <c r="AW9" s="8">
        <f t="shared" ref="AW9:AY10" si="5">SUM(AV9)</f>
        <v>250</v>
      </c>
      <c r="AX9" s="8">
        <f t="shared" si="5"/>
        <v>250</v>
      </c>
      <c r="AY9" s="8">
        <f t="shared" si="5"/>
        <v>250</v>
      </c>
      <c r="AZ9" s="36">
        <f>AU9+AP9+AK9+AF9+AA9+V9+Q9+L9+G9+B9</f>
        <v>1795496</v>
      </c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</row>
    <row r="10" spans="1:82" s="1" customFormat="1" ht="18" customHeight="1" thickBot="1">
      <c r="A10" s="31" t="s">
        <v>7</v>
      </c>
      <c r="B10" s="71">
        <v>1506000</v>
      </c>
      <c r="C10" s="12"/>
      <c r="D10" s="12"/>
      <c r="E10" s="12"/>
      <c r="F10" s="12"/>
      <c r="G10" s="7">
        <f t="shared" si="3"/>
        <v>454812</v>
      </c>
      <c r="H10" s="7">
        <f t="shared" si="4"/>
        <v>0</v>
      </c>
      <c r="I10" s="7">
        <f t="shared" si="4"/>
        <v>0</v>
      </c>
      <c r="J10" s="7">
        <f t="shared" si="4"/>
        <v>0</v>
      </c>
      <c r="K10" s="7">
        <f t="shared" si="4"/>
        <v>0</v>
      </c>
      <c r="L10" s="13">
        <f>720*12</f>
        <v>8640</v>
      </c>
      <c r="M10" s="13"/>
      <c r="N10" s="13"/>
      <c r="O10" s="13"/>
      <c r="P10" s="13"/>
      <c r="Q10" s="66"/>
      <c r="R10" s="8"/>
      <c r="S10" s="8"/>
      <c r="T10" s="8"/>
      <c r="U10" s="8"/>
      <c r="V10" s="66">
        <v>390000</v>
      </c>
      <c r="W10" s="8"/>
      <c r="X10" s="8"/>
      <c r="Y10" s="8"/>
      <c r="Z10" s="8"/>
      <c r="AA10" s="8">
        <f>1900*12</f>
        <v>22800</v>
      </c>
      <c r="AB10" s="8"/>
      <c r="AC10" s="8"/>
      <c r="AD10" s="8"/>
      <c r="AE10" s="8"/>
      <c r="AF10" s="8">
        <f>1600*12</f>
        <v>19200</v>
      </c>
      <c r="AG10" s="8"/>
      <c r="AH10" s="8"/>
      <c r="AI10" s="8"/>
      <c r="AJ10" s="8"/>
      <c r="AK10" s="8"/>
      <c r="AL10" s="8"/>
      <c r="AM10" s="8"/>
      <c r="AN10" s="8"/>
      <c r="AO10" s="8"/>
      <c r="AP10" s="8">
        <v>1000</v>
      </c>
      <c r="AQ10" s="8"/>
      <c r="AR10" s="8"/>
      <c r="AS10" s="8"/>
      <c r="AT10" s="8"/>
      <c r="AU10" s="8">
        <v>1000</v>
      </c>
      <c r="AV10" s="8">
        <v>250</v>
      </c>
      <c r="AW10" s="8">
        <f t="shared" si="5"/>
        <v>250</v>
      </c>
      <c r="AX10" s="8">
        <f t="shared" si="5"/>
        <v>250</v>
      </c>
      <c r="AY10" s="8">
        <f t="shared" si="5"/>
        <v>250</v>
      </c>
      <c r="AZ10" s="36">
        <f t="shared" ref="AZ10:AZ16" si="6">AU10+AP10+AK10+AF10+AA10+V10+Q10+L10+G10+B10</f>
        <v>2403452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</row>
    <row r="11" spans="1:82" s="1" customFormat="1" ht="18" customHeight="1" thickBot="1">
      <c r="A11" s="31" t="s">
        <v>8</v>
      </c>
      <c r="B11" s="71">
        <v>2092000</v>
      </c>
      <c r="C11" s="12"/>
      <c r="D11" s="12"/>
      <c r="E11" s="12"/>
      <c r="F11" s="12"/>
      <c r="G11" s="7">
        <f t="shared" si="3"/>
        <v>631784</v>
      </c>
      <c r="H11" s="7">
        <f t="shared" si="4"/>
        <v>0</v>
      </c>
      <c r="I11" s="7">
        <f t="shared" si="4"/>
        <v>0</v>
      </c>
      <c r="J11" s="7">
        <f t="shared" si="4"/>
        <v>0</v>
      </c>
      <c r="K11" s="7">
        <f t="shared" si="4"/>
        <v>0</v>
      </c>
      <c r="L11" s="13"/>
      <c r="M11" s="13"/>
      <c r="N11" s="13"/>
      <c r="O11" s="13"/>
      <c r="P11" s="13"/>
      <c r="Q11" s="66"/>
      <c r="R11" s="8"/>
      <c r="S11" s="8"/>
      <c r="T11" s="8"/>
      <c r="U11" s="8"/>
      <c r="V11" s="66">
        <f>16000*12</f>
        <v>192000</v>
      </c>
      <c r="W11" s="8"/>
      <c r="X11" s="8"/>
      <c r="Y11" s="8"/>
      <c r="Z11" s="8"/>
      <c r="AA11" s="8">
        <f>2000*12</f>
        <v>24000</v>
      </c>
      <c r="AB11" s="8"/>
      <c r="AC11" s="8"/>
      <c r="AD11" s="8"/>
      <c r="AE11" s="8"/>
      <c r="AF11" s="8">
        <f>85000-5000</f>
        <v>80000</v>
      </c>
      <c r="AG11" s="8"/>
      <c r="AH11" s="8"/>
      <c r="AI11" s="8"/>
      <c r="AJ11" s="8"/>
      <c r="AK11" s="8">
        <v>25000</v>
      </c>
      <c r="AL11" s="8"/>
      <c r="AM11" s="8"/>
      <c r="AN11" s="8"/>
      <c r="AO11" s="8"/>
      <c r="AP11" s="8">
        <v>1000</v>
      </c>
      <c r="AQ11" s="8"/>
      <c r="AR11" s="8"/>
      <c r="AS11" s="8"/>
      <c r="AT11" s="8"/>
      <c r="AU11" s="8">
        <v>1000</v>
      </c>
      <c r="AV11" s="8">
        <v>250</v>
      </c>
      <c r="AW11" s="8">
        <v>250</v>
      </c>
      <c r="AX11" s="8">
        <v>250</v>
      </c>
      <c r="AY11" s="8">
        <f>SUM(AX11)</f>
        <v>250</v>
      </c>
      <c r="AZ11" s="36">
        <f t="shared" si="6"/>
        <v>3046784</v>
      </c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</row>
    <row r="12" spans="1:82" s="1" customFormat="1" ht="18" customHeight="1" thickBot="1">
      <c r="A12" s="31" t="s">
        <v>9</v>
      </c>
      <c r="B12" s="71">
        <v>2929000</v>
      </c>
      <c r="C12" s="12"/>
      <c r="D12" s="12"/>
      <c r="E12" s="12"/>
      <c r="F12" s="12"/>
      <c r="G12" s="7">
        <f t="shared" si="3"/>
        <v>884558</v>
      </c>
      <c r="H12" s="7">
        <f t="shared" si="4"/>
        <v>0</v>
      </c>
      <c r="I12" s="7">
        <f t="shared" si="4"/>
        <v>0</v>
      </c>
      <c r="J12" s="7">
        <f t="shared" si="4"/>
        <v>0</v>
      </c>
      <c r="K12" s="7">
        <f t="shared" si="4"/>
        <v>0</v>
      </c>
      <c r="L12" s="13"/>
      <c r="M12" s="13"/>
      <c r="N12" s="8"/>
      <c r="O12" s="8"/>
      <c r="P12" s="8"/>
      <c r="Q12" s="66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>
        <v>1000</v>
      </c>
      <c r="AQ12" s="8"/>
      <c r="AR12" s="8"/>
      <c r="AS12" s="8"/>
      <c r="AT12" s="8"/>
      <c r="AU12" s="8">
        <v>20000</v>
      </c>
      <c r="AV12" s="8">
        <v>7000</v>
      </c>
      <c r="AW12" s="8">
        <v>6000</v>
      </c>
      <c r="AX12" s="8">
        <v>6000</v>
      </c>
      <c r="AY12" s="8">
        <f>AU12-AX12-AW12-AV12</f>
        <v>1000</v>
      </c>
      <c r="AZ12" s="36">
        <f t="shared" si="6"/>
        <v>3834558</v>
      </c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</row>
    <row r="13" spans="1:82" s="1" customFormat="1" ht="18" customHeight="1" thickBot="1">
      <c r="A13" s="31" t="s">
        <v>10</v>
      </c>
      <c r="B13" s="71">
        <v>1916000</v>
      </c>
      <c r="C13" s="12"/>
      <c r="D13" s="12"/>
      <c r="E13" s="12"/>
      <c r="F13" s="12"/>
      <c r="G13" s="7">
        <f>B13*30.2%-39</f>
        <v>578593</v>
      </c>
      <c r="H13" s="7">
        <f t="shared" si="4"/>
        <v>0</v>
      </c>
      <c r="I13" s="7">
        <f t="shared" si="4"/>
        <v>0</v>
      </c>
      <c r="J13" s="7">
        <f t="shared" si="4"/>
        <v>0</v>
      </c>
      <c r="K13" s="7">
        <f t="shared" si="4"/>
        <v>0</v>
      </c>
      <c r="L13" s="13"/>
      <c r="M13" s="13"/>
      <c r="N13" s="8"/>
      <c r="O13" s="8"/>
      <c r="P13" s="8"/>
      <c r="Q13" s="66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>
        <v>1000</v>
      </c>
      <c r="AQ13" s="8"/>
      <c r="AR13" s="8"/>
      <c r="AS13" s="8"/>
      <c r="AT13" s="8"/>
      <c r="AU13" s="8">
        <v>20000</v>
      </c>
      <c r="AV13" s="8">
        <v>7000</v>
      </c>
      <c r="AW13" s="8">
        <v>6000</v>
      </c>
      <c r="AX13" s="8">
        <v>6000</v>
      </c>
      <c r="AY13" s="8">
        <f t="shared" ref="AY13:AY15" si="7">AU13-AX13-AW13-AV13</f>
        <v>1000</v>
      </c>
      <c r="AZ13" s="36">
        <f t="shared" si="6"/>
        <v>2515593</v>
      </c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</row>
    <row r="14" spans="1:82" s="1" customFormat="1" ht="18" customHeight="1">
      <c r="A14" s="32" t="s">
        <v>11</v>
      </c>
      <c r="B14" s="71">
        <v>1975000</v>
      </c>
      <c r="C14" s="12"/>
      <c r="D14" s="12"/>
      <c r="E14" s="12"/>
      <c r="F14" s="12"/>
      <c r="G14" s="7">
        <f t="shared" si="3"/>
        <v>596450</v>
      </c>
      <c r="H14" s="7">
        <f t="shared" si="4"/>
        <v>0</v>
      </c>
      <c r="I14" s="7">
        <f t="shared" si="4"/>
        <v>0</v>
      </c>
      <c r="J14" s="7">
        <f t="shared" si="4"/>
        <v>0</v>
      </c>
      <c r="K14" s="7">
        <f t="shared" si="4"/>
        <v>0</v>
      </c>
      <c r="L14" s="13">
        <f>2400*12-20</f>
        <v>28780</v>
      </c>
      <c r="M14" s="13"/>
      <c r="N14" s="8"/>
      <c r="O14" s="8"/>
      <c r="P14" s="8"/>
      <c r="Q14" s="66">
        <v>500</v>
      </c>
      <c r="R14" s="8"/>
      <c r="S14" s="8"/>
      <c r="T14" s="8"/>
      <c r="U14" s="8"/>
      <c r="V14" s="8">
        <v>923841</v>
      </c>
      <c r="W14" s="8"/>
      <c r="X14" s="8"/>
      <c r="Y14" s="8"/>
      <c r="Z14" s="8"/>
      <c r="AA14" s="8">
        <v>115000</v>
      </c>
      <c r="AB14" s="8"/>
      <c r="AC14" s="8"/>
      <c r="AD14" s="8"/>
      <c r="AE14" s="8"/>
      <c r="AF14" s="8">
        <v>210000</v>
      </c>
      <c r="AG14" s="8"/>
      <c r="AH14" s="8"/>
      <c r="AI14" s="8"/>
      <c r="AJ14" s="8"/>
      <c r="AK14" s="8"/>
      <c r="AL14" s="8"/>
      <c r="AM14" s="8"/>
      <c r="AN14" s="8"/>
      <c r="AO14" s="8"/>
      <c r="AP14" s="8">
        <v>1000</v>
      </c>
      <c r="AQ14" s="8"/>
      <c r="AR14" s="8"/>
      <c r="AS14" s="8"/>
      <c r="AT14" s="8"/>
      <c r="AU14" s="8">
        <v>1000</v>
      </c>
      <c r="AV14" s="8">
        <v>250</v>
      </c>
      <c r="AW14" s="8">
        <v>250</v>
      </c>
      <c r="AX14" s="8">
        <v>250</v>
      </c>
      <c r="AY14" s="8">
        <f t="shared" si="7"/>
        <v>250</v>
      </c>
      <c r="AZ14" s="36">
        <f t="shared" si="6"/>
        <v>3851571</v>
      </c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s="1" customFormat="1" ht="18" customHeight="1">
      <c r="A15" s="33" t="s">
        <v>12</v>
      </c>
      <c r="B15" s="72">
        <v>1489000</v>
      </c>
      <c r="C15" s="12"/>
      <c r="D15" s="12"/>
      <c r="E15" s="12"/>
      <c r="F15" s="12"/>
      <c r="G15" s="7">
        <f t="shared" si="3"/>
        <v>449678</v>
      </c>
      <c r="H15" s="7">
        <f t="shared" si="4"/>
        <v>0</v>
      </c>
      <c r="I15" s="7">
        <f t="shared" si="4"/>
        <v>0</v>
      </c>
      <c r="J15" s="7">
        <f t="shared" si="4"/>
        <v>0</v>
      </c>
      <c r="K15" s="7">
        <f t="shared" si="4"/>
        <v>0</v>
      </c>
      <c r="L15" s="13">
        <f>720*12</f>
        <v>8640</v>
      </c>
      <c r="M15" s="13"/>
      <c r="N15" s="13"/>
      <c r="O15" s="13"/>
      <c r="P15" s="13"/>
      <c r="Q15" s="67"/>
      <c r="R15" s="13"/>
      <c r="S15" s="13"/>
      <c r="T15" s="13"/>
      <c r="U15" s="13"/>
      <c r="V15" s="8">
        <f>9000*12-10000</f>
        <v>98000</v>
      </c>
      <c r="W15" s="8"/>
      <c r="X15" s="8"/>
      <c r="Y15" s="8"/>
      <c r="Z15" s="8"/>
      <c r="AA15" s="8">
        <f>3000*12</f>
        <v>36000</v>
      </c>
      <c r="AB15" s="8"/>
      <c r="AC15" s="8"/>
      <c r="AD15" s="8"/>
      <c r="AE15" s="8"/>
      <c r="AF15" s="8">
        <f>6000*12-10000</f>
        <v>62000</v>
      </c>
      <c r="AG15" s="8"/>
      <c r="AH15" s="8"/>
      <c r="AI15" s="8"/>
      <c r="AJ15" s="8"/>
      <c r="AK15" s="8"/>
      <c r="AL15" s="8"/>
      <c r="AM15" s="8"/>
      <c r="AN15" s="8"/>
      <c r="AO15" s="8"/>
      <c r="AP15" s="8">
        <v>1000</v>
      </c>
      <c r="AQ15" s="8"/>
      <c r="AR15" s="8"/>
      <c r="AS15" s="8"/>
      <c r="AT15" s="8"/>
      <c r="AU15" s="8">
        <v>1000</v>
      </c>
      <c r="AV15" s="8">
        <v>250</v>
      </c>
      <c r="AW15" s="8">
        <v>250</v>
      </c>
      <c r="AX15" s="8">
        <v>250</v>
      </c>
      <c r="AY15" s="8">
        <f t="shared" si="7"/>
        <v>250</v>
      </c>
      <c r="AZ15" s="36">
        <f t="shared" si="6"/>
        <v>2145318</v>
      </c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</row>
    <row r="16" spans="1:82" s="1" customFormat="1" ht="18" customHeight="1" thickBot="1">
      <c r="A16" s="33" t="s">
        <v>14</v>
      </c>
      <c r="B16" s="72">
        <v>920700</v>
      </c>
      <c r="C16" s="9"/>
      <c r="D16" s="9"/>
      <c r="E16" s="9"/>
      <c r="F16" s="9"/>
      <c r="G16" s="7">
        <f t="shared" si="3"/>
        <v>278051.39999999997</v>
      </c>
      <c r="H16" s="7"/>
      <c r="I16" s="7"/>
      <c r="J16" s="7"/>
      <c r="K16" s="7"/>
      <c r="L16" s="13"/>
      <c r="M16" s="20"/>
      <c r="N16" s="20"/>
      <c r="O16" s="20"/>
      <c r="P16" s="20"/>
      <c r="Q16" s="68"/>
      <c r="R16" s="20"/>
      <c r="S16" s="20"/>
      <c r="T16" s="20"/>
      <c r="U16" s="20"/>
      <c r="V16" s="21">
        <v>1000</v>
      </c>
      <c r="W16" s="21"/>
      <c r="X16" s="21"/>
      <c r="Y16" s="21"/>
      <c r="Z16" s="8"/>
      <c r="AA16" s="8">
        <v>1000</v>
      </c>
      <c r="AB16" s="21"/>
      <c r="AC16" s="21"/>
      <c r="AD16" s="21"/>
      <c r="AE16" s="8"/>
      <c r="AF16" s="8">
        <v>1000</v>
      </c>
      <c r="AG16" s="21"/>
      <c r="AH16" s="21"/>
      <c r="AI16" s="21"/>
      <c r="AJ16" s="8"/>
      <c r="AK16" s="8"/>
      <c r="AL16" s="21"/>
      <c r="AM16" s="21"/>
      <c r="AN16" s="21"/>
      <c r="AO16" s="8"/>
      <c r="AP16" s="8">
        <v>1000</v>
      </c>
      <c r="AQ16" s="21"/>
      <c r="AR16" s="21"/>
      <c r="AS16" s="21"/>
      <c r="AT16" s="8"/>
      <c r="AU16" s="21">
        <v>1000</v>
      </c>
      <c r="AV16" s="21"/>
      <c r="AW16" s="21"/>
      <c r="AX16" s="21"/>
      <c r="AY16" s="8"/>
      <c r="AZ16" s="36">
        <f t="shared" si="6"/>
        <v>1203751.3999999999</v>
      </c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</row>
    <row r="17" spans="1:82" s="1" customFormat="1" ht="18" customHeight="1" thickBot="1">
      <c r="A17" s="31" t="s">
        <v>18</v>
      </c>
      <c r="B17" s="70">
        <v>1255000</v>
      </c>
      <c r="C17" s="7"/>
      <c r="D17" s="7"/>
      <c r="E17" s="7"/>
      <c r="F17" s="7"/>
      <c r="G17" s="7">
        <f t="shared" si="3"/>
        <v>379010</v>
      </c>
      <c r="H17" s="7">
        <f t="shared" ref="H17" si="8">C17*0.302</f>
        <v>0</v>
      </c>
      <c r="I17" s="7">
        <f t="shared" ref="I17" si="9">D17*0.302</f>
        <v>0</v>
      </c>
      <c r="J17" s="7">
        <f t="shared" ref="J17" si="10">E17*0.302</f>
        <v>0</v>
      </c>
      <c r="K17" s="7">
        <f t="shared" ref="K17" si="11">F17*0.302</f>
        <v>0</v>
      </c>
      <c r="L17" s="8"/>
      <c r="M17" s="8"/>
      <c r="N17" s="8"/>
      <c r="O17" s="8"/>
      <c r="P17" s="8"/>
      <c r="Q17" s="66">
        <v>500</v>
      </c>
      <c r="R17" s="8"/>
      <c r="S17" s="8"/>
      <c r="T17" s="8"/>
      <c r="U17" s="8"/>
      <c r="V17" s="8">
        <f>6500*12</f>
        <v>78000</v>
      </c>
      <c r="W17" s="8"/>
      <c r="X17" s="8"/>
      <c r="Y17" s="8"/>
      <c r="Z17" s="8"/>
      <c r="AA17" s="8">
        <v>29000</v>
      </c>
      <c r="AB17" s="8"/>
      <c r="AC17" s="8"/>
      <c r="AD17" s="8"/>
      <c r="AE17" s="8"/>
      <c r="AF17" s="8">
        <v>8400</v>
      </c>
      <c r="AG17" s="8"/>
      <c r="AH17" s="8"/>
      <c r="AI17" s="8"/>
      <c r="AJ17" s="8"/>
      <c r="AK17" s="8"/>
      <c r="AL17" s="8"/>
      <c r="AM17" s="8"/>
      <c r="AN17" s="8"/>
      <c r="AO17" s="8"/>
      <c r="AP17" s="8">
        <v>1000</v>
      </c>
      <c r="AQ17" s="8"/>
      <c r="AR17" s="8"/>
      <c r="AS17" s="8"/>
      <c r="AT17" s="8"/>
      <c r="AU17" s="8">
        <f>45*3500</f>
        <v>157500</v>
      </c>
      <c r="AV17" s="8">
        <v>30000</v>
      </c>
      <c r="AW17" s="8">
        <v>30000</v>
      </c>
      <c r="AX17" s="8">
        <v>30000</v>
      </c>
      <c r="AY17" s="8">
        <f>AU17-AX17-AW17-AV17</f>
        <v>67500</v>
      </c>
      <c r="AZ17" s="36">
        <f>B17+G17+L17+Q17+V17+AA17+AF17+AK17+AP17+AU17</f>
        <v>1908410</v>
      </c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</row>
    <row r="18" spans="1:82" s="11" customFormat="1" ht="14.25">
      <c r="A18" s="34" t="s">
        <v>13</v>
      </c>
      <c r="B18" s="35">
        <f>SUM(B6:B17)</f>
        <v>19064700</v>
      </c>
      <c r="C18" s="35">
        <f t="shared" ref="C18:AZ18" si="12">SUM(C6:C17)</f>
        <v>0</v>
      </c>
      <c r="D18" s="35">
        <f t="shared" si="12"/>
        <v>0</v>
      </c>
      <c r="E18" s="35">
        <f t="shared" si="12"/>
        <v>0</v>
      </c>
      <c r="F18" s="35">
        <f t="shared" si="12"/>
        <v>0</v>
      </c>
      <c r="G18" s="35">
        <f t="shared" si="12"/>
        <v>5757500.4000000004</v>
      </c>
      <c r="H18" s="35">
        <f t="shared" si="12"/>
        <v>0</v>
      </c>
      <c r="I18" s="35">
        <f t="shared" si="12"/>
        <v>0</v>
      </c>
      <c r="J18" s="35">
        <f t="shared" si="12"/>
        <v>0</v>
      </c>
      <c r="K18" s="35">
        <f t="shared" si="12"/>
        <v>0</v>
      </c>
      <c r="L18" s="35">
        <f t="shared" si="12"/>
        <v>77500</v>
      </c>
      <c r="M18" s="35">
        <f t="shared" si="12"/>
        <v>0</v>
      </c>
      <c r="N18" s="35">
        <f t="shared" si="12"/>
        <v>0</v>
      </c>
      <c r="O18" s="35">
        <f t="shared" si="12"/>
        <v>0</v>
      </c>
      <c r="P18" s="35">
        <f t="shared" si="12"/>
        <v>0</v>
      </c>
      <c r="Q18" s="69">
        <f t="shared" si="12"/>
        <v>2500</v>
      </c>
      <c r="R18" s="35">
        <f t="shared" si="12"/>
        <v>0</v>
      </c>
      <c r="S18" s="35">
        <f t="shared" si="12"/>
        <v>0</v>
      </c>
      <c r="T18" s="35">
        <f t="shared" si="12"/>
        <v>0</v>
      </c>
      <c r="U18" s="35">
        <f t="shared" si="12"/>
        <v>0</v>
      </c>
      <c r="V18" s="35">
        <f t="shared" si="12"/>
        <v>2055700</v>
      </c>
      <c r="W18" s="35">
        <f t="shared" si="12"/>
        <v>0</v>
      </c>
      <c r="X18" s="35">
        <f t="shared" si="12"/>
        <v>0</v>
      </c>
      <c r="Y18" s="35">
        <f t="shared" si="12"/>
        <v>0</v>
      </c>
      <c r="Z18" s="35">
        <f t="shared" si="12"/>
        <v>0</v>
      </c>
      <c r="AA18" s="35">
        <f t="shared" si="12"/>
        <v>332800</v>
      </c>
      <c r="AB18" s="35">
        <f t="shared" si="12"/>
        <v>0</v>
      </c>
      <c r="AC18" s="35">
        <f t="shared" si="12"/>
        <v>0</v>
      </c>
      <c r="AD18" s="35">
        <f t="shared" si="12"/>
        <v>0</v>
      </c>
      <c r="AE18" s="35">
        <f t="shared" si="12"/>
        <v>0</v>
      </c>
      <c r="AF18" s="35">
        <f t="shared" si="12"/>
        <v>535800</v>
      </c>
      <c r="AG18" s="35">
        <f t="shared" si="12"/>
        <v>0</v>
      </c>
      <c r="AH18" s="35">
        <f t="shared" si="12"/>
        <v>0</v>
      </c>
      <c r="AI18" s="35">
        <f t="shared" si="12"/>
        <v>0</v>
      </c>
      <c r="AJ18" s="35">
        <f t="shared" si="12"/>
        <v>0</v>
      </c>
      <c r="AK18" s="35">
        <f t="shared" si="12"/>
        <v>45000</v>
      </c>
      <c r="AL18" s="35">
        <f t="shared" si="12"/>
        <v>0</v>
      </c>
      <c r="AM18" s="35">
        <f t="shared" si="12"/>
        <v>0</v>
      </c>
      <c r="AN18" s="35">
        <f t="shared" si="12"/>
        <v>0</v>
      </c>
      <c r="AO18" s="35">
        <f t="shared" si="12"/>
        <v>0</v>
      </c>
      <c r="AP18" s="35">
        <f t="shared" si="12"/>
        <v>12000</v>
      </c>
      <c r="AQ18" s="35">
        <f t="shared" si="12"/>
        <v>0</v>
      </c>
      <c r="AR18" s="35">
        <f t="shared" si="12"/>
        <v>0</v>
      </c>
      <c r="AS18" s="35">
        <f t="shared" si="12"/>
        <v>0</v>
      </c>
      <c r="AT18" s="35">
        <f t="shared" si="12"/>
        <v>0</v>
      </c>
      <c r="AU18" s="35">
        <f t="shared" si="12"/>
        <v>565000</v>
      </c>
      <c r="AV18" s="35">
        <f t="shared" si="12"/>
        <v>129250</v>
      </c>
      <c r="AW18" s="35">
        <f t="shared" si="12"/>
        <v>125250</v>
      </c>
      <c r="AX18" s="35">
        <f t="shared" si="12"/>
        <v>125250</v>
      </c>
      <c r="AY18" s="35">
        <f t="shared" si="12"/>
        <v>184250</v>
      </c>
      <c r="AZ18" s="35">
        <f t="shared" si="12"/>
        <v>28448500.399999999</v>
      </c>
    </row>
    <row r="19" spans="1:82">
      <c r="G19" s="22"/>
      <c r="L19" s="22"/>
      <c r="AZ19" s="22">
        <f>28448500</f>
        <v>28448500</v>
      </c>
    </row>
    <row r="20" spans="1:82">
      <c r="B20" s="23"/>
      <c r="C20" s="23"/>
      <c r="D20" s="23"/>
      <c r="E20" s="23"/>
      <c r="F20" s="23"/>
      <c r="G20" s="24"/>
      <c r="AU20" s="22"/>
      <c r="AZ20" s="22">
        <f>AZ18-AZ19</f>
        <v>0.39999999850988388</v>
      </c>
    </row>
    <row r="21" spans="1:82">
      <c r="G21" s="22"/>
    </row>
    <row r="23" spans="1:82">
      <c r="L23" s="22"/>
    </row>
  </sheetData>
  <mergeCells count="11">
    <mergeCell ref="AG3:AJ3"/>
    <mergeCell ref="AL3:AO3"/>
    <mergeCell ref="AQ3:AT3"/>
    <mergeCell ref="AV3:AY3"/>
    <mergeCell ref="AZ3:AZ4"/>
    <mergeCell ref="AB3:AE3"/>
    <mergeCell ref="C3:F3"/>
    <mergeCell ref="H3:K3"/>
    <mergeCell ref="M3:P3"/>
    <mergeCell ref="R3:U3"/>
    <mergeCell ref="W3:Z3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D18"/>
  <sheetViews>
    <sheetView tabSelected="1" topLeftCell="A4" workbookViewId="0">
      <pane xSplit="1" ySplit="1" topLeftCell="AU5" activePane="bottomRight" state="frozen"/>
      <selection activeCell="A4" sqref="A4"/>
      <selection pane="topRight" activeCell="B4" sqref="B4"/>
      <selection pane="bottomLeft" activeCell="A5" sqref="A5"/>
      <selection pane="bottomRight" activeCell="AZ12" sqref="AZ12"/>
    </sheetView>
  </sheetViews>
  <sheetFormatPr defaultRowHeight="15"/>
  <cols>
    <col min="1" max="1" width="50" customWidth="1"/>
    <col min="2" max="2" width="18.85546875" customWidth="1"/>
    <col min="3" max="3" width="15" customWidth="1"/>
    <col min="4" max="4" width="16.42578125" customWidth="1"/>
    <col min="5" max="5" width="17.85546875" customWidth="1"/>
    <col min="6" max="6" width="14.7109375" customWidth="1"/>
    <col min="7" max="7" width="15.28515625" customWidth="1"/>
    <col min="8" max="8" width="16.5703125" customWidth="1"/>
    <col min="9" max="9" width="16.140625" customWidth="1"/>
    <col min="10" max="10" width="14.7109375" customWidth="1"/>
    <col min="11" max="11" width="14.85546875" customWidth="1"/>
    <col min="12" max="12" width="14.5703125" customWidth="1"/>
    <col min="13" max="13" width="11.7109375" customWidth="1"/>
    <col min="14" max="14" width="11" customWidth="1"/>
    <col min="15" max="15" width="12.140625" customWidth="1"/>
    <col min="16" max="16" width="11.28515625" customWidth="1"/>
    <col min="17" max="17" width="10.140625" customWidth="1"/>
    <col min="21" max="21" width="11.7109375" customWidth="1"/>
    <col min="22" max="22" width="15.42578125" customWidth="1"/>
    <col min="23" max="23" width="12.85546875" customWidth="1"/>
    <col min="24" max="24" width="13.42578125" customWidth="1"/>
    <col min="25" max="25" width="12.5703125" customWidth="1"/>
    <col min="26" max="26" width="16.5703125" customWidth="1"/>
    <col min="27" max="27" width="13.7109375" customWidth="1"/>
    <col min="28" max="28" width="12.28515625" customWidth="1"/>
    <col min="29" max="29" width="12.140625" customWidth="1"/>
    <col min="30" max="30" width="13.85546875" customWidth="1"/>
    <col min="31" max="31" width="11.85546875" customWidth="1"/>
    <col min="32" max="32" width="12.85546875" customWidth="1"/>
    <col min="33" max="33" width="14.5703125" customWidth="1"/>
    <col min="34" max="36" width="12.7109375" customWidth="1"/>
    <col min="37" max="37" width="12.5703125" customWidth="1"/>
    <col min="38" max="38" width="13" customWidth="1"/>
    <col min="39" max="39" width="12.7109375" customWidth="1"/>
    <col min="40" max="40" width="12" customWidth="1"/>
    <col min="41" max="41" width="11.7109375" customWidth="1"/>
    <col min="42" max="42" width="12.85546875" customWidth="1"/>
    <col min="43" max="43" width="11.5703125" customWidth="1"/>
    <col min="44" max="44" width="11.28515625" customWidth="1"/>
    <col min="45" max="45" width="12.140625" customWidth="1"/>
    <col min="46" max="46" width="13.85546875" customWidth="1"/>
    <col min="47" max="47" width="12.7109375" customWidth="1"/>
    <col min="48" max="48" width="16" customWidth="1"/>
    <col min="49" max="49" width="13.85546875" customWidth="1"/>
    <col min="50" max="50" width="12.42578125" customWidth="1"/>
    <col min="51" max="51" width="16.85546875" customWidth="1"/>
    <col min="52" max="52" width="17.7109375" customWidth="1"/>
    <col min="53" max="53" width="18.28515625" customWidth="1"/>
  </cols>
  <sheetData>
    <row r="1" spans="1:82" ht="18.75">
      <c r="A1" s="40"/>
      <c r="B1" s="41"/>
      <c r="C1" s="40"/>
      <c r="D1" s="40"/>
      <c r="E1" s="40"/>
      <c r="F1" s="40"/>
      <c r="G1" s="41"/>
      <c r="H1" s="40"/>
      <c r="I1" s="40"/>
      <c r="J1" s="40"/>
      <c r="K1" s="40"/>
      <c r="L1" s="41"/>
      <c r="M1" s="40"/>
      <c r="N1" s="40"/>
      <c r="O1" s="40"/>
      <c r="P1" s="40"/>
      <c r="Q1" s="41"/>
      <c r="R1" s="40"/>
      <c r="S1" s="40"/>
      <c r="T1" s="40"/>
      <c r="U1" s="40"/>
      <c r="V1" s="41"/>
      <c r="W1" s="40"/>
      <c r="X1" s="40"/>
      <c r="Y1" s="40"/>
      <c r="Z1" s="40"/>
      <c r="AA1" s="41"/>
      <c r="AB1" s="40"/>
      <c r="AC1" s="40"/>
      <c r="AD1" s="40"/>
      <c r="AE1" s="40"/>
      <c r="AF1" s="41"/>
      <c r="AG1" s="40"/>
      <c r="AH1" s="40"/>
      <c r="AI1" s="40"/>
      <c r="AJ1" s="40"/>
      <c r="AK1" s="41"/>
      <c r="AL1" s="40"/>
      <c r="AM1" s="40"/>
      <c r="AN1" s="40"/>
      <c r="AO1" s="40"/>
      <c r="AP1" s="42"/>
      <c r="AQ1" s="40"/>
      <c r="AR1" s="40"/>
      <c r="AS1" s="40"/>
      <c r="AT1" s="40"/>
      <c r="AU1" s="41"/>
      <c r="AV1" s="40"/>
      <c r="AW1" s="40"/>
      <c r="AX1" s="40"/>
      <c r="AY1" s="40"/>
      <c r="AZ1" s="41"/>
      <c r="BA1" s="40"/>
    </row>
    <row r="2" spans="1:82" ht="18.75">
      <c r="A2" s="40"/>
      <c r="B2" s="41"/>
      <c r="C2" s="40"/>
      <c r="D2" s="40"/>
      <c r="E2" s="40"/>
      <c r="F2" s="40"/>
      <c r="G2" s="41"/>
      <c r="H2" s="40"/>
      <c r="I2" s="40"/>
      <c r="J2" s="40"/>
      <c r="K2" s="40"/>
      <c r="L2" s="41"/>
      <c r="M2" s="40"/>
      <c r="N2" s="40"/>
      <c r="O2" s="40"/>
      <c r="P2" s="40"/>
      <c r="Q2" s="41"/>
      <c r="R2" s="40"/>
      <c r="S2" s="40"/>
      <c r="T2" s="40"/>
      <c r="U2" s="40"/>
      <c r="V2" s="41"/>
      <c r="W2" s="40"/>
      <c r="X2" s="40"/>
      <c r="Y2" s="40"/>
      <c r="Z2" s="40"/>
      <c r="AA2" s="41"/>
      <c r="AB2" s="40"/>
      <c r="AC2" s="40"/>
      <c r="AD2" s="40"/>
      <c r="AE2" s="40"/>
      <c r="AF2" s="41"/>
      <c r="AG2" s="40"/>
      <c r="AH2" s="40"/>
      <c r="AI2" s="40"/>
      <c r="AJ2" s="40"/>
      <c r="AK2" s="41"/>
      <c r="AL2" s="40"/>
      <c r="AM2" s="40"/>
      <c r="AN2" s="40"/>
      <c r="AO2" s="40"/>
      <c r="AP2" s="41"/>
      <c r="AQ2" s="40"/>
      <c r="AR2" s="40"/>
      <c r="AS2" s="40"/>
      <c r="AT2" s="40"/>
      <c r="AU2" s="41"/>
      <c r="AV2" s="40"/>
      <c r="AW2" s="40"/>
      <c r="AX2" s="40"/>
      <c r="AY2" s="40"/>
      <c r="AZ2" s="41"/>
      <c r="BA2" s="40"/>
    </row>
    <row r="3" spans="1:82" ht="18.75">
      <c r="A3" s="43"/>
      <c r="B3" s="44">
        <v>211</v>
      </c>
      <c r="C3" s="81">
        <v>211</v>
      </c>
      <c r="D3" s="82"/>
      <c r="E3" s="82"/>
      <c r="F3" s="83"/>
      <c r="G3" s="44">
        <v>213</v>
      </c>
      <c r="H3" s="81"/>
      <c r="I3" s="82"/>
      <c r="J3" s="82"/>
      <c r="K3" s="83"/>
      <c r="L3" s="45">
        <v>221</v>
      </c>
      <c r="M3" s="81">
        <v>221</v>
      </c>
      <c r="N3" s="82"/>
      <c r="O3" s="82"/>
      <c r="P3" s="83"/>
      <c r="Q3" s="45">
        <v>222</v>
      </c>
      <c r="R3" s="81">
        <v>222</v>
      </c>
      <c r="S3" s="82"/>
      <c r="T3" s="82"/>
      <c r="U3" s="82"/>
      <c r="V3" s="46">
        <v>223</v>
      </c>
      <c r="W3" s="82">
        <v>223</v>
      </c>
      <c r="X3" s="82"/>
      <c r="Y3" s="82"/>
      <c r="Z3" s="82"/>
      <c r="AA3" s="45">
        <v>225</v>
      </c>
      <c r="AB3" s="81">
        <v>225</v>
      </c>
      <c r="AC3" s="82"/>
      <c r="AD3" s="82"/>
      <c r="AE3" s="83"/>
      <c r="AF3" s="45">
        <v>226</v>
      </c>
      <c r="AG3" s="81">
        <v>226</v>
      </c>
      <c r="AH3" s="82"/>
      <c r="AI3" s="82"/>
      <c r="AJ3" s="83"/>
      <c r="AK3" s="45">
        <v>290</v>
      </c>
      <c r="AL3" s="81">
        <v>290</v>
      </c>
      <c r="AM3" s="82"/>
      <c r="AN3" s="82"/>
      <c r="AO3" s="83"/>
      <c r="AP3" s="45">
        <v>310</v>
      </c>
      <c r="AQ3" s="81">
        <v>310</v>
      </c>
      <c r="AR3" s="82"/>
      <c r="AS3" s="82"/>
      <c r="AT3" s="83"/>
      <c r="AU3" s="45">
        <v>340</v>
      </c>
      <c r="AV3" s="84">
        <v>340</v>
      </c>
      <c r="AW3" s="84"/>
      <c r="AX3" s="84"/>
      <c r="AY3" s="84"/>
      <c r="AZ3" s="79" t="s">
        <v>0</v>
      </c>
      <c r="BA3" s="47"/>
    </row>
    <row r="4" spans="1:82" ht="73.5" thickBot="1">
      <c r="A4" s="37"/>
      <c r="B4" s="48" t="s">
        <v>1</v>
      </c>
      <c r="C4" s="49">
        <v>1</v>
      </c>
      <c r="D4" s="49">
        <v>2</v>
      </c>
      <c r="E4" s="49">
        <v>3</v>
      </c>
      <c r="F4" s="49">
        <v>4</v>
      </c>
      <c r="G4" s="48" t="s">
        <v>2</v>
      </c>
      <c r="H4" s="49">
        <v>1</v>
      </c>
      <c r="I4" s="49">
        <v>2</v>
      </c>
      <c r="J4" s="49">
        <v>3</v>
      </c>
      <c r="K4" s="49">
        <v>4</v>
      </c>
      <c r="L4" s="48" t="s">
        <v>19</v>
      </c>
      <c r="M4" s="50">
        <v>1</v>
      </c>
      <c r="N4" s="50">
        <v>2</v>
      </c>
      <c r="O4" s="50">
        <v>3</v>
      </c>
      <c r="P4" s="50">
        <v>4</v>
      </c>
      <c r="Q4" s="48" t="s">
        <v>20</v>
      </c>
      <c r="R4" s="50">
        <v>1</v>
      </c>
      <c r="S4" s="50">
        <v>2</v>
      </c>
      <c r="T4" s="50">
        <v>3</v>
      </c>
      <c r="U4" s="50">
        <v>4</v>
      </c>
      <c r="V4" s="48" t="s">
        <v>21</v>
      </c>
      <c r="W4" s="50">
        <v>1</v>
      </c>
      <c r="X4" s="50">
        <v>2</v>
      </c>
      <c r="Y4" s="50">
        <v>3</v>
      </c>
      <c r="Z4" s="50">
        <v>4</v>
      </c>
      <c r="AA4" s="48" t="s">
        <v>22</v>
      </c>
      <c r="AB4" s="50">
        <v>1</v>
      </c>
      <c r="AC4" s="50">
        <v>2</v>
      </c>
      <c r="AD4" s="50">
        <v>3</v>
      </c>
      <c r="AE4" s="50">
        <v>4</v>
      </c>
      <c r="AF4" s="48" t="s">
        <v>23</v>
      </c>
      <c r="AG4" s="50">
        <v>1</v>
      </c>
      <c r="AH4" s="50">
        <v>2</v>
      </c>
      <c r="AI4" s="50">
        <v>3</v>
      </c>
      <c r="AJ4" s="50">
        <v>4</v>
      </c>
      <c r="AK4" s="48" t="s">
        <v>24</v>
      </c>
      <c r="AL4" s="50"/>
      <c r="AM4" s="50"/>
      <c r="AN4" s="50"/>
      <c r="AO4" s="50"/>
      <c r="AP4" s="48" t="s">
        <v>25</v>
      </c>
      <c r="AQ4" s="50">
        <v>1</v>
      </c>
      <c r="AR4" s="50">
        <v>2</v>
      </c>
      <c r="AS4" s="50">
        <v>3</v>
      </c>
      <c r="AT4" s="50">
        <v>4</v>
      </c>
      <c r="AU4" s="48" t="s">
        <v>26</v>
      </c>
      <c r="AV4" s="51">
        <v>1</v>
      </c>
      <c r="AW4" s="51">
        <v>2</v>
      </c>
      <c r="AX4" s="51">
        <v>3</v>
      </c>
      <c r="AY4" s="51">
        <v>4</v>
      </c>
      <c r="AZ4" s="80"/>
      <c r="BA4" s="52"/>
    </row>
    <row r="5" spans="1:82" ht="19.5" thickBot="1">
      <c r="A5" s="28" t="s">
        <v>15</v>
      </c>
      <c r="B5" s="53">
        <f>C5+D5+E5+F5</f>
        <v>1188000</v>
      </c>
      <c r="C5" s="54">
        <v>300100</v>
      </c>
      <c r="D5" s="54">
        <v>297000</v>
      </c>
      <c r="E5" s="54">
        <v>293900</v>
      </c>
      <c r="F5" s="54">
        <v>297000</v>
      </c>
      <c r="G5" s="53">
        <f>H5+I5+J5+K5</f>
        <v>358776</v>
      </c>
      <c r="H5" s="54">
        <f t="shared" ref="H5:K7" si="0">C5*0.302</f>
        <v>90630.2</v>
      </c>
      <c r="I5" s="54">
        <f t="shared" si="0"/>
        <v>89694</v>
      </c>
      <c r="J5" s="54">
        <f t="shared" si="0"/>
        <v>88757.8</v>
      </c>
      <c r="K5" s="54">
        <f t="shared" si="0"/>
        <v>89694</v>
      </c>
      <c r="L5" s="55">
        <f>M5+N5+O5+P5</f>
        <v>8208</v>
      </c>
      <c r="M5" s="56">
        <v>2052</v>
      </c>
      <c r="N5" s="56">
        <v>2052</v>
      </c>
      <c r="O5" s="56">
        <v>2052</v>
      </c>
      <c r="P5" s="56">
        <v>2052</v>
      </c>
      <c r="Q5" s="55">
        <f>R5+S5+T5+U5</f>
        <v>500</v>
      </c>
      <c r="R5" s="56">
        <v>500</v>
      </c>
      <c r="S5" s="56"/>
      <c r="T5" s="56"/>
      <c r="U5" s="56"/>
      <c r="V5" s="55">
        <f>W5+X5+Y5+Z5</f>
        <v>90059</v>
      </c>
      <c r="W5" s="56">
        <f>22514-24</f>
        <v>22490</v>
      </c>
      <c r="X5" s="56">
        <v>22514</v>
      </c>
      <c r="Y5" s="56">
        <v>22514</v>
      </c>
      <c r="Z5" s="57">
        <f>22517+24</f>
        <v>22541</v>
      </c>
      <c r="AA5" s="55">
        <f>AB5+AC5+AD5+AE5</f>
        <v>27600</v>
      </c>
      <c r="AB5" s="56">
        <v>6900</v>
      </c>
      <c r="AC5" s="56">
        <v>6900</v>
      </c>
      <c r="AD5" s="56">
        <v>6900</v>
      </c>
      <c r="AE5" s="56">
        <v>6900</v>
      </c>
      <c r="AF5" s="55">
        <f>AG5+AH5+AI5+AJ5</f>
        <v>48000</v>
      </c>
      <c r="AG5" s="56">
        <v>12000</v>
      </c>
      <c r="AH5" s="56">
        <v>12000</v>
      </c>
      <c r="AI5" s="56">
        <v>12000</v>
      </c>
      <c r="AJ5" s="56">
        <v>12000</v>
      </c>
      <c r="AK5" s="55"/>
      <c r="AL5" s="56"/>
      <c r="AM5" s="56"/>
      <c r="AN5" s="56"/>
      <c r="AO5" s="56"/>
      <c r="AP5" s="55">
        <f>AQ5+AR5+AS5+AT5</f>
        <v>1000</v>
      </c>
      <c r="AQ5" s="56">
        <v>250</v>
      </c>
      <c r="AR5" s="56">
        <v>250</v>
      </c>
      <c r="AS5" s="56">
        <v>250</v>
      </c>
      <c r="AT5" s="56">
        <v>250</v>
      </c>
      <c r="AU5" s="55">
        <f>AV5+AW5+AX5+AY5</f>
        <v>238000</v>
      </c>
      <c r="AV5" s="56">
        <v>59000</v>
      </c>
      <c r="AW5" s="56">
        <v>59000</v>
      </c>
      <c r="AX5" s="56">
        <v>59000</v>
      </c>
      <c r="AY5" s="56">
        <v>61000</v>
      </c>
      <c r="AZ5" s="55">
        <f>B5+G5+L5+Q5+V5+AA5+AF5+AK5+AP5+AU5</f>
        <v>1960143</v>
      </c>
      <c r="BA5" s="58">
        <f>AY5+AX5+AW5+AV5+AT5+AS5+AR5+AQ5+AO5+AN5+AM5+AL5+AJ5+AI5+AH5+AG5+AE5+AD5+AC5+AB5+Z5+Y5+X5+W5+U5+T5+S5+R5+P5+O5+N5+M5+K5+J5+I5+H5+F5+E5+D5+C5</f>
        <v>1960143</v>
      </c>
    </row>
    <row r="6" spans="1:82" ht="19.5" thickBot="1">
      <c r="A6" s="28" t="s">
        <v>16</v>
      </c>
      <c r="B6" s="53">
        <f t="shared" ref="B6:B16" si="1">C6+D6+E6+F6</f>
        <v>1422000</v>
      </c>
      <c r="C6" s="54">
        <v>355000</v>
      </c>
      <c r="D6" s="54">
        <v>355000</v>
      </c>
      <c r="E6" s="54">
        <v>355000</v>
      </c>
      <c r="F6" s="54">
        <v>357000</v>
      </c>
      <c r="G6" s="53">
        <f t="shared" ref="G6:G16" si="2">H6+I6+J6+K6</f>
        <v>429444</v>
      </c>
      <c r="H6" s="54">
        <f t="shared" si="0"/>
        <v>107210</v>
      </c>
      <c r="I6" s="54">
        <f t="shared" si="0"/>
        <v>107210</v>
      </c>
      <c r="J6" s="54">
        <f t="shared" si="0"/>
        <v>107210</v>
      </c>
      <c r="K6" s="54">
        <f t="shared" si="0"/>
        <v>107814</v>
      </c>
      <c r="L6" s="55">
        <f t="shared" ref="L6:L16" si="3">M6+N6+O6+P6</f>
        <v>8496</v>
      </c>
      <c r="M6" s="56">
        <v>2124</v>
      </c>
      <c r="N6" s="56">
        <v>2124</v>
      </c>
      <c r="O6" s="56">
        <v>2124</v>
      </c>
      <c r="P6" s="56">
        <v>2124</v>
      </c>
      <c r="Q6" s="55">
        <f t="shared" ref="Q6:Q17" si="4">R6+S6+T6+U6</f>
        <v>500</v>
      </c>
      <c r="R6" s="56">
        <v>200</v>
      </c>
      <c r="S6" s="56">
        <v>300</v>
      </c>
      <c r="T6" s="56"/>
      <c r="U6" s="56"/>
      <c r="V6" s="55">
        <f t="shared" ref="V6:V16" si="5">W6+X6+Y6+Z6</f>
        <v>80800</v>
      </c>
      <c r="W6" s="56">
        <v>20200</v>
      </c>
      <c r="X6" s="56">
        <v>20200</v>
      </c>
      <c r="Y6" s="56">
        <v>20200</v>
      </c>
      <c r="Z6" s="56">
        <v>20200</v>
      </c>
      <c r="AA6" s="55">
        <f t="shared" ref="AA6:AA16" si="6">AB6+AC6+AD6+AE6</f>
        <v>39600</v>
      </c>
      <c r="AB6" s="56">
        <v>9900</v>
      </c>
      <c r="AC6" s="56">
        <v>9900</v>
      </c>
      <c r="AD6" s="56">
        <v>9900</v>
      </c>
      <c r="AE6" s="56">
        <v>9900</v>
      </c>
      <c r="AF6" s="55">
        <f t="shared" ref="AF6:AF16" si="7">AG6+AH6+AI6+AJ6</f>
        <v>48000</v>
      </c>
      <c r="AG6" s="56">
        <v>12000</v>
      </c>
      <c r="AH6" s="56">
        <v>12000</v>
      </c>
      <c r="AI6" s="56">
        <f>12000-50</f>
        <v>11950</v>
      </c>
      <c r="AJ6" s="56">
        <f>12000+50</f>
        <v>12050</v>
      </c>
      <c r="AK6" s="55"/>
      <c r="AL6" s="56"/>
      <c r="AM6" s="56"/>
      <c r="AN6" s="56"/>
      <c r="AO6" s="56"/>
      <c r="AP6" s="55">
        <f t="shared" ref="AP6:AP16" si="8">AQ6+AR6+AS6+AT6</f>
        <v>1000</v>
      </c>
      <c r="AQ6" s="56">
        <v>250</v>
      </c>
      <c r="AR6" s="56">
        <v>250</v>
      </c>
      <c r="AS6" s="56">
        <v>250</v>
      </c>
      <c r="AT6" s="56">
        <v>250</v>
      </c>
      <c r="AU6" s="55">
        <f t="shared" ref="AU6:AU16" si="9">AV6+AW6+AX6+AY6</f>
        <v>122500</v>
      </c>
      <c r="AV6" s="56">
        <v>31250</v>
      </c>
      <c r="AW6" s="56">
        <v>30500</v>
      </c>
      <c r="AX6" s="56">
        <v>30875</v>
      </c>
      <c r="AY6" s="56">
        <v>29875</v>
      </c>
      <c r="AZ6" s="55">
        <f>B6+G6+L6+Q6+V6+AA6+AF6+AK6+AP6+AU6</f>
        <v>2152340</v>
      </c>
      <c r="BA6" s="58">
        <f t="shared" ref="BA6:BA16" si="10">AY6+AX6+AW6+AV6+AT6+AS6+AR6+AQ6+AO6+AN6+AM6+AL6+AJ6+AI6+AH6+AG6+AE6+AD6+AC6+AB6+Z6+Y6+X6+W6+U6+T6+S6+R6+P6+O6+N6+M6+K6+J6+I6+H6+F6+E6+D6+C6</f>
        <v>2152340</v>
      </c>
    </row>
    <row r="7" spans="1:82" ht="19.5" thickBot="1">
      <c r="A7" s="28" t="s">
        <v>17</v>
      </c>
      <c r="B7" s="53">
        <f t="shared" si="1"/>
        <v>1172000</v>
      </c>
      <c r="C7" s="54">
        <v>293000</v>
      </c>
      <c r="D7" s="54">
        <v>293000</v>
      </c>
      <c r="E7" s="54">
        <v>293000</v>
      </c>
      <c r="F7" s="54">
        <v>293000</v>
      </c>
      <c r="G7" s="53">
        <f t="shared" si="2"/>
        <v>353905</v>
      </c>
      <c r="H7" s="54">
        <f t="shared" si="0"/>
        <v>88486</v>
      </c>
      <c r="I7" s="54">
        <f t="shared" si="0"/>
        <v>88486</v>
      </c>
      <c r="J7" s="54">
        <f>E7*0.302-62</f>
        <v>88424</v>
      </c>
      <c r="K7" s="54">
        <f>F7*0.302+23</f>
        <v>88509</v>
      </c>
      <c r="L7" s="55">
        <f t="shared" si="3"/>
        <v>8640</v>
      </c>
      <c r="M7" s="56">
        <v>2160</v>
      </c>
      <c r="N7" s="56">
        <v>2160</v>
      </c>
      <c r="O7" s="56">
        <v>2160</v>
      </c>
      <c r="P7" s="56">
        <v>2160</v>
      </c>
      <c r="Q7" s="55">
        <f t="shared" si="4"/>
        <v>500</v>
      </c>
      <c r="R7" s="56"/>
      <c r="S7" s="56"/>
      <c r="T7" s="56"/>
      <c r="U7" s="56">
        <v>500</v>
      </c>
      <c r="V7" s="55">
        <f t="shared" si="5"/>
        <v>52000</v>
      </c>
      <c r="W7" s="56">
        <v>13000</v>
      </c>
      <c r="X7" s="56">
        <f>13000-24</f>
        <v>12976</v>
      </c>
      <c r="Y7" s="56">
        <v>13000</v>
      </c>
      <c r="Z7" s="56">
        <f>13000+24</f>
        <v>13024</v>
      </c>
      <c r="AA7" s="55">
        <f t="shared" si="6"/>
        <v>22800</v>
      </c>
      <c r="AB7" s="56">
        <v>5700</v>
      </c>
      <c r="AC7" s="56">
        <v>5700</v>
      </c>
      <c r="AD7" s="56">
        <v>5700</v>
      </c>
      <c r="AE7" s="56">
        <v>5700</v>
      </c>
      <c r="AF7" s="55">
        <f t="shared" si="7"/>
        <v>19200</v>
      </c>
      <c r="AG7" s="56">
        <v>4800</v>
      </c>
      <c r="AH7" s="56">
        <v>4800</v>
      </c>
      <c r="AI7" s="56">
        <v>4800</v>
      </c>
      <c r="AJ7" s="56">
        <v>4800</v>
      </c>
      <c r="AK7" s="55"/>
      <c r="AL7" s="56"/>
      <c r="AM7" s="56"/>
      <c r="AN7" s="56"/>
      <c r="AO7" s="56"/>
      <c r="AP7" s="55">
        <f t="shared" si="8"/>
        <v>1000</v>
      </c>
      <c r="AQ7" s="56">
        <v>250</v>
      </c>
      <c r="AR7" s="56">
        <v>250</v>
      </c>
      <c r="AS7" s="56">
        <v>250</v>
      </c>
      <c r="AT7" s="56">
        <v>250</v>
      </c>
      <c r="AU7" s="55">
        <f t="shared" si="9"/>
        <v>1000</v>
      </c>
      <c r="AV7" s="56">
        <v>250</v>
      </c>
      <c r="AW7" s="56">
        <v>250</v>
      </c>
      <c r="AX7" s="56">
        <v>250</v>
      </c>
      <c r="AY7" s="56">
        <v>250</v>
      </c>
      <c r="AZ7" s="55">
        <f>B7+G7+L7+Q7+V7+AA7+AF7+AK7+AP7+AU7</f>
        <v>1631045</v>
      </c>
      <c r="BA7" s="58">
        <f t="shared" si="10"/>
        <v>1631045</v>
      </c>
    </row>
    <row r="8" spans="1:82" s="1" customFormat="1" ht="18" customHeight="1" thickBot="1">
      <c r="A8" s="28" t="s">
        <v>6</v>
      </c>
      <c r="B8" s="53">
        <f t="shared" si="1"/>
        <v>1200000</v>
      </c>
      <c r="C8" s="59">
        <v>300000</v>
      </c>
      <c r="D8" s="59">
        <v>300000</v>
      </c>
      <c r="E8" s="59">
        <v>300000</v>
      </c>
      <c r="F8" s="54">
        <v>300000</v>
      </c>
      <c r="G8" s="53">
        <f t="shared" si="2"/>
        <v>362400</v>
      </c>
      <c r="H8" s="54">
        <f t="shared" ref="H8:K8" si="11">C8*0.302</f>
        <v>90600</v>
      </c>
      <c r="I8" s="54">
        <f t="shared" si="11"/>
        <v>90600</v>
      </c>
      <c r="J8" s="54">
        <f t="shared" si="11"/>
        <v>90600</v>
      </c>
      <c r="K8" s="54">
        <f t="shared" si="11"/>
        <v>90600</v>
      </c>
      <c r="L8" s="55">
        <f t="shared" si="3"/>
        <v>6096</v>
      </c>
      <c r="M8" s="56">
        <v>1524</v>
      </c>
      <c r="N8" s="56">
        <v>1524</v>
      </c>
      <c r="O8" s="56">
        <v>1524</v>
      </c>
      <c r="P8" s="56">
        <v>1524</v>
      </c>
      <c r="Q8" s="55">
        <f t="shared" si="4"/>
        <v>0</v>
      </c>
      <c r="R8" s="56"/>
      <c r="S8" s="56"/>
      <c r="T8" s="56"/>
      <c r="U8" s="56"/>
      <c r="V8" s="55">
        <f t="shared" si="5"/>
        <v>150000</v>
      </c>
      <c r="W8" s="56">
        <v>37500</v>
      </c>
      <c r="X8" s="56">
        <v>37500</v>
      </c>
      <c r="Y8" s="56">
        <f>37500-24</f>
        <v>37476</v>
      </c>
      <c r="Z8" s="56">
        <f>37500+24</f>
        <v>37524</v>
      </c>
      <c r="AA8" s="55">
        <f t="shared" si="6"/>
        <v>15000</v>
      </c>
      <c r="AB8" s="56">
        <v>3750</v>
      </c>
      <c r="AC8" s="56">
        <v>3750</v>
      </c>
      <c r="AD8" s="56">
        <v>3750</v>
      </c>
      <c r="AE8" s="56">
        <v>3750</v>
      </c>
      <c r="AF8" s="55">
        <f t="shared" si="7"/>
        <v>40000</v>
      </c>
      <c r="AG8" s="56">
        <v>10000</v>
      </c>
      <c r="AH8" s="56">
        <f>10000-50</f>
        <v>9950</v>
      </c>
      <c r="AI8" s="56">
        <v>10000</v>
      </c>
      <c r="AJ8" s="56">
        <f>10000+50</f>
        <v>10050</v>
      </c>
      <c r="AK8" s="60">
        <f>AL8+AM8+AN8+AO8</f>
        <v>20000</v>
      </c>
      <c r="AL8" s="56">
        <v>5000</v>
      </c>
      <c r="AM8" s="56">
        <v>5000</v>
      </c>
      <c r="AN8" s="56">
        <v>5000</v>
      </c>
      <c r="AO8" s="56">
        <v>5000</v>
      </c>
      <c r="AP8" s="55">
        <f t="shared" si="8"/>
        <v>1000</v>
      </c>
      <c r="AQ8" s="56">
        <v>250</v>
      </c>
      <c r="AR8" s="56">
        <v>250</v>
      </c>
      <c r="AS8" s="56">
        <v>250</v>
      </c>
      <c r="AT8" s="56">
        <v>250</v>
      </c>
      <c r="AU8" s="55">
        <f t="shared" si="9"/>
        <v>1000</v>
      </c>
      <c r="AV8" s="56">
        <v>250</v>
      </c>
      <c r="AW8" s="56">
        <v>250</v>
      </c>
      <c r="AX8" s="56">
        <v>250</v>
      </c>
      <c r="AY8" s="56">
        <v>250</v>
      </c>
      <c r="AZ8" s="60">
        <f>AU8+AP8+AK8+AF8+AA8+V8+Q8+L8+G8+B8</f>
        <v>1795496</v>
      </c>
      <c r="BA8" s="58">
        <f t="shared" si="10"/>
        <v>1795496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</row>
    <row r="9" spans="1:82" ht="19.5" thickBot="1">
      <c r="A9" s="28" t="s">
        <v>7</v>
      </c>
      <c r="B9" s="53">
        <f t="shared" si="1"/>
        <v>1506000</v>
      </c>
      <c r="C9" s="59">
        <v>376000</v>
      </c>
      <c r="D9" s="59">
        <v>376000</v>
      </c>
      <c r="E9" s="59">
        <v>376000</v>
      </c>
      <c r="F9" s="54">
        <v>378000</v>
      </c>
      <c r="G9" s="53">
        <f t="shared" si="2"/>
        <v>454812</v>
      </c>
      <c r="H9" s="54">
        <f t="shared" ref="H9:K16" si="12">C9*0.302</f>
        <v>113552</v>
      </c>
      <c r="I9" s="54">
        <f t="shared" si="12"/>
        <v>113552</v>
      </c>
      <c r="J9" s="54">
        <f t="shared" si="12"/>
        <v>113552</v>
      </c>
      <c r="K9" s="54">
        <f t="shared" si="12"/>
        <v>114156</v>
      </c>
      <c r="L9" s="55">
        <f t="shared" si="3"/>
        <v>8640</v>
      </c>
      <c r="M9" s="56">
        <v>2160</v>
      </c>
      <c r="N9" s="56">
        <v>2160</v>
      </c>
      <c r="O9" s="56">
        <v>2160</v>
      </c>
      <c r="P9" s="56">
        <v>2160</v>
      </c>
      <c r="Q9" s="55">
        <f t="shared" si="4"/>
        <v>0</v>
      </c>
      <c r="R9" s="56"/>
      <c r="S9" s="56"/>
      <c r="T9" s="56"/>
      <c r="U9" s="56"/>
      <c r="V9" s="55">
        <f t="shared" si="5"/>
        <v>390000</v>
      </c>
      <c r="W9" s="56">
        <v>97500</v>
      </c>
      <c r="X9" s="56">
        <v>97500</v>
      </c>
      <c r="Y9" s="56">
        <v>97500</v>
      </c>
      <c r="Z9" s="56">
        <v>97500</v>
      </c>
      <c r="AA9" s="55">
        <f t="shared" si="6"/>
        <v>22800</v>
      </c>
      <c r="AB9" s="56">
        <v>5700</v>
      </c>
      <c r="AC9" s="56">
        <v>5700</v>
      </c>
      <c r="AD9" s="56">
        <v>5700</v>
      </c>
      <c r="AE9" s="56">
        <v>5700</v>
      </c>
      <c r="AF9" s="55">
        <f t="shared" si="7"/>
        <v>19200</v>
      </c>
      <c r="AG9" s="56">
        <v>4800</v>
      </c>
      <c r="AH9" s="56">
        <v>4800</v>
      </c>
      <c r="AI9" s="56">
        <v>4800</v>
      </c>
      <c r="AJ9" s="56">
        <v>4800</v>
      </c>
      <c r="AK9" s="60"/>
      <c r="AL9" s="56"/>
      <c r="AM9" s="56"/>
      <c r="AN9" s="56"/>
      <c r="AO9" s="56"/>
      <c r="AP9" s="55">
        <f t="shared" si="8"/>
        <v>1000</v>
      </c>
      <c r="AQ9" s="56">
        <v>250</v>
      </c>
      <c r="AR9" s="56">
        <v>250</v>
      </c>
      <c r="AS9" s="56">
        <v>250</v>
      </c>
      <c r="AT9" s="56">
        <v>250</v>
      </c>
      <c r="AU9" s="55">
        <f t="shared" si="9"/>
        <v>1000</v>
      </c>
      <c r="AV9" s="56">
        <v>250</v>
      </c>
      <c r="AW9" s="56">
        <v>250</v>
      </c>
      <c r="AX9" s="56">
        <v>250</v>
      </c>
      <c r="AY9" s="56">
        <v>250</v>
      </c>
      <c r="AZ9" s="55">
        <f t="shared" ref="AZ9:AZ16" si="13">B9+G9+L9+Q9+V9+AA9+AF9+AK9+AP9+AU9</f>
        <v>2403452</v>
      </c>
      <c r="BA9" s="58">
        <f t="shared" si="10"/>
        <v>2403452</v>
      </c>
    </row>
    <row r="10" spans="1:82" ht="19.5" thickBot="1">
      <c r="A10" s="28" t="s">
        <v>8</v>
      </c>
      <c r="B10" s="53">
        <f t="shared" si="1"/>
        <v>2092000</v>
      </c>
      <c r="C10" s="59">
        <v>523000</v>
      </c>
      <c r="D10" s="59">
        <v>523000</v>
      </c>
      <c r="E10" s="59">
        <v>523000</v>
      </c>
      <c r="F10" s="54">
        <v>523000</v>
      </c>
      <c r="G10" s="53">
        <f t="shared" si="2"/>
        <v>631784</v>
      </c>
      <c r="H10" s="54">
        <f t="shared" si="12"/>
        <v>157946</v>
      </c>
      <c r="I10" s="54">
        <f t="shared" si="12"/>
        <v>157946</v>
      </c>
      <c r="J10" s="54">
        <f t="shared" si="12"/>
        <v>157946</v>
      </c>
      <c r="K10" s="54">
        <f t="shared" si="12"/>
        <v>157946</v>
      </c>
      <c r="L10" s="55"/>
      <c r="M10" s="56"/>
      <c r="N10" s="56"/>
      <c r="O10" s="56"/>
      <c r="P10" s="56"/>
      <c r="Q10" s="55">
        <f t="shared" si="4"/>
        <v>0</v>
      </c>
      <c r="R10" s="56"/>
      <c r="S10" s="56"/>
      <c r="T10" s="56"/>
      <c r="U10" s="56"/>
      <c r="V10" s="55">
        <f t="shared" si="5"/>
        <v>192000</v>
      </c>
      <c r="W10" s="56">
        <v>48000</v>
      </c>
      <c r="X10" s="56">
        <v>48000</v>
      </c>
      <c r="Y10" s="56">
        <v>48000</v>
      </c>
      <c r="Z10" s="56">
        <v>48000</v>
      </c>
      <c r="AA10" s="55">
        <f t="shared" si="6"/>
        <v>24000</v>
      </c>
      <c r="AB10" s="56">
        <v>6000</v>
      </c>
      <c r="AC10" s="56">
        <v>6000</v>
      </c>
      <c r="AD10" s="56">
        <v>6000</v>
      </c>
      <c r="AE10" s="56">
        <v>6000</v>
      </c>
      <c r="AF10" s="55">
        <f t="shared" si="7"/>
        <v>80000</v>
      </c>
      <c r="AG10" s="56">
        <v>20000</v>
      </c>
      <c r="AH10" s="56">
        <v>20000</v>
      </c>
      <c r="AI10" s="56">
        <v>20000</v>
      </c>
      <c r="AJ10" s="56">
        <v>20000</v>
      </c>
      <c r="AK10" s="60">
        <f t="shared" ref="AK9:AK10" si="14">AL10+AM10+AN10+AO10</f>
        <v>25000</v>
      </c>
      <c r="AL10" s="56">
        <f>6250-250</f>
        <v>6000</v>
      </c>
      <c r="AM10" s="56">
        <v>6000</v>
      </c>
      <c r="AN10" s="56">
        <v>6000</v>
      </c>
      <c r="AO10" s="56">
        <v>7000</v>
      </c>
      <c r="AP10" s="55">
        <f t="shared" si="8"/>
        <v>1000</v>
      </c>
      <c r="AQ10" s="56">
        <v>250</v>
      </c>
      <c r="AR10" s="56">
        <v>250</v>
      </c>
      <c r="AS10" s="56">
        <v>250</v>
      </c>
      <c r="AT10" s="56">
        <v>250</v>
      </c>
      <c r="AU10" s="55">
        <f t="shared" si="9"/>
        <v>1000</v>
      </c>
      <c r="AV10" s="56">
        <v>250</v>
      </c>
      <c r="AW10" s="56">
        <v>250</v>
      </c>
      <c r="AX10" s="56">
        <v>250</v>
      </c>
      <c r="AY10" s="56">
        <v>250</v>
      </c>
      <c r="AZ10" s="55">
        <f t="shared" si="13"/>
        <v>3046784</v>
      </c>
      <c r="BA10" s="58">
        <f t="shared" si="10"/>
        <v>3046784</v>
      </c>
    </row>
    <row r="11" spans="1:82" ht="19.5" thickBot="1">
      <c r="A11" s="28" t="s">
        <v>9</v>
      </c>
      <c r="B11" s="53">
        <f t="shared" si="1"/>
        <v>2929000</v>
      </c>
      <c r="C11" s="59">
        <v>732000</v>
      </c>
      <c r="D11" s="59">
        <v>732000</v>
      </c>
      <c r="E11" s="59">
        <v>734000</v>
      </c>
      <c r="F11" s="54">
        <v>731000</v>
      </c>
      <c r="G11" s="53">
        <f t="shared" si="2"/>
        <v>884558</v>
      </c>
      <c r="H11" s="54">
        <f t="shared" si="12"/>
        <v>221064</v>
      </c>
      <c r="I11" s="54">
        <f t="shared" si="12"/>
        <v>221064</v>
      </c>
      <c r="J11" s="54">
        <f t="shared" si="12"/>
        <v>221668</v>
      </c>
      <c r="K11" s="54">
        <f t="shared" si="12"/>
        <v>220762</v>
      </c>
      <c r="L11" s="55"/>
      <c r="M11" s="56"/>
      <c r="N11" s="56"/>
      <c r="O11" s="56"/>
      <c r="P11" s="56"/>
      <c r="Q11" s="55">
        <f t="shared" si="4"/>
        <v>0</v>
      </c>
      <c r="R11" s="56"/>
      <c r="S11" s="56"/>
      <c r="T11" s="56"/>
      <c r="U11" s="56"/>
      <c r="V11" s="55">
        <f t="shared" si="5"/>
        <v>0</v>
      </c>
      <c r="W11" s="56"/>
      <c r="X11" s="56"/>
      <c r="Y11" s="56"/>
      <c r="Z11" s="56"/>
      <c r="AA11" s="55"/>
      <c r="AB11" s="56"/>
      <c r="AC11" s="56"/>
      <c r="AD11" s="56"/>
      <c r="AE11" s="56"/>
      <c r="AF11" s="55"/>
      <c r="AG11" s="56"/>
      <c r="AH11" s="56"/>
      <c r="AI11" s="56"/>
      <c r="AJ11" s="56"/>
      <c r="AK11" s="55"/>
      <c r="AL11" s="56"/>
      <c r="AM11" s="56"/>
      <c r="AN11" s="56"/>
      <c r="AO11" s="56"/>
      <c r="AP11" s="55">
        <f t="shared" si="8"/>
        <v>1000</v>
      </c>
      <c r="AQ11" s="56">
        <v>250</v>
      </c>
      <c r="AR11" s="56">
        <v>250</v>
      </c>
      <c r="AS11" s="56">
        <v>250</v>
      </c>
      <c r="AT11" s="56">
        <v>250</v>
      </c>
      <c r="AU11" s="55">
        <f t="shared" si="9"/>
        <v>20000</v>
      </c>
      <c r="AV11" s="56">
        <v>5000</v>
      </c>
      <c r="AW11" s="56">
        <v>5000</v>
      </c>
      <c r="AX11" s="56">
        <v>5000</v>
      </c>
      <c r="AY11" s="56">
        <v>5000</v>
      </c>
      <c r="AZ11" s="55">
        <f t="shared" si="13"/>
        <v>3834558</v>
      </c>
      <c r="BA11" s="58">
        <f t="shared" si="10"/>
        <v>3834558</v>
      </c>
    </row>
    <row r="12" spans="1:82" ht="19.5" thickBot="1">
      <c r="A12" s="28" t="s">
        <v>10</v>
      </c>
      <c r="B12" s="53">
        <f t="shared" si="1"/>
        <v>1916000</v>
      </c>
      <c r="C12" s="59">
        <v>479000</v>
      </c>
      <c r="D12" s="59">
        <v>479000</v>
      </c>
      <c r="E12" s="59">
        <v>482600</v>
      </c>
      <c r="F12" s="54">
        <v>475400</v>
      </c>
      <c r="G12" s="53">
        <f t="shared" si="2"/>
        <v>578632</v>
      </c>
      <c r="H12" s="54">
        <f t="shared" si="12"/>
        <v>144658</v>
      </c>
      <c r="I12" s="54">
        <f t="shared" si="12"/>
        <v>144658</v>
      </c>
      <c r="J12" s="54">
        <f t="shared" si="12"/>
        <v>145745.19999999998</v>
      </c>
      <c r="K12" s="54">
        <f t="shared" si="12"/>
        <v>143570.79999999999</v>
      </c>
      <c r="L12" s="55"/>
      <c r="M12" s="56"/>
      <c r="N12" s="56"/>
      <c r="O12" s="56"/>
      <c r="P12" s="56"/>
      <c r="Q12" s="55">
        <f t="shared" si="4"/>
        <v>0</v>
      </c>
      <c r="R12" s="56"/>
      <c r="S12" s="56"/>
      <c r="T12" s="56"/>
      <c r="U12" s="56"/>
      <c r="V12" s="55">
        <f t="shared" si="5"/>
        <v>0</v>
      </c>
      <c r="W12" s="56"/>
      <c r="X12" s="56"/>
      <c r="Y12" s="56"/>
      <c r="Z12" s="56"/>
      <c r="AA12" s="55"/>
      <c r="AB12" s="56"/>
      <c r="AC12" s="56"/>
      <c r="AD12" s="56"/>
      <c r="AE12" s="56"/>
      <c r="AF12" s="55"/>
      <c r="AG12" s="56"/>
      <c r="AH12" s="56"/>
      <c r="AI12" s="56"/>
      <c r="AJ12" s="56"/>
      <c r="AK12" s="55"/>
      <c r="AL12" s="56"/>
      <c r="AM12" s="56"/>
      <c r="AN12" s="56"/>
      <c r="AO12" s="56"/>
      <c r="AP12" s="55">
        <f t="shared" si="8"/>
        <v>1000</v>
      </c>
      <c r="AQ12" s="56">
        <v>250</v>
      </c>
      <c r="AR12" s="56">
        <v>250</v>
      </c>
      <c r="AS12" s="56">
        <v>250</v>
      </c>
      <c r="AT12" s="56">
        <v>250</v>
      </c>
      <c r="AU12" s="55">
        <f t="shared" si="9"/>
        <v>20000</v>
      </c>
      <c r="AV12" s="56">
        <v>5000</v>
      </c>
      <c r="AW12" s="56">
        <v>5000</v>
      </c>
      <c r="AX12" s="56">
        <v>5000</v>
      </c>
      <c r="AY12" s="56">
        <v>5000</v>
      </c>
      <c r="AZ12" s="55">
        <f t="shared" si="13"/>
        <v>2515632</v>
      </c>
      <c r="BA12" s="58">
        <f t="shared" si="10"/>
        <v>2515632</v>
      </c>
    </row>
    <row r="13" spans="1:82" ht="18.75">
      <c r="A13" s="29" t="s">
        <v>11</v>
      </c>
      <c r="B13" s="53">
        <f t="shared" si="1"/>
        <v>1975000</v>
      </c>
      <c r="C13" s="59">
        <v>493000</v>
      </c>
      <c r="D13" s="59">
        <v>493000</v>
      </c>
      <c r="E13" s="59">
        <v>497000</v>
      </c>
      <c r="F13" s="54">
        <v>492000</v>
      </c>
      <c r="G13" s="53">
        <f t="shared" si="2"/>
        <v>596450</v>
      </c>
      <c r="H13" s="54">
        <f t="shared" si="12"/>
        <v>148886</v>
      </c>
      <c r="I13" s="54">
        <f t="shared" si="12"/>
        <v>148886</v>
      </c>
      <c r="J13" s="54">
        <f t="shared" si="12"/>
        <v>150094</v>
      </c>
      <c r="K13" s="54">
        <f t="shared" si="12"/>
        <v>148584</v>
      </c>
      <c r="L13" s="55">
        <f t="shared" si="3"/>
        <v>28780</v>
      </c>
      <c r="M13" s="56">
        <v>7120</v>
      </c>
      <c r="N13" s="56">
        <v>7120</v>
      </c>
      <c r="O13" s="56">
        <v>7120</v>
      </c>
      <c r="P13" s="56">
        <v>7420</v>
      </c>
      <c r="Q13" s="55">
        <f t="shared" si="4"/>
        <v>500</v>
      </c>
      <c r="R13" s="56"/>
      <c r="S13" s="56"/>
      <c r="T13" s="56">
        <v>500</v>
      </c>
      <c r="U13" s="56"/>
      <c r="V13" s="55">
        <f t="shared" si="5"/>
        <v>923841</v>
      </c>
      <c r="W13" s="56">
        <v>230960</v>
      </c>
      <c r="X13" s="56">
        <v>230960</v>
      </c>
      <c r="Y13" s="56">
        <v>230960</v>
      </c>
      <c r="Z13" s="56">
        <v>230961</v>
      </c>
      <c r="AA13" s="55">
        <f t="shared" si="6"/>
        <v>115000</v>
      </c>
      <c r="AB13" s="56">
        <v>28750</v>
      </c>
      <c r="AC13" s="56">
        <v>28750</v>
      </c>
      <c r="AD13" s="56">
        <v>28750</v>
      </c>
      <c r="AE13" s="56">
        <v>28750</v>
      </c>
      <c r="AF13" s="55">
        <f t="shared" si="7"/>
        <v>210000</v>
      </c>
      <c r="AG13" s="56">
        <v>52500</v>
      </c>
      <c r="AH13" s="56">
        <v>52500</v>
      </c>
      <c r="AI13" s="56">
        <v>52500</v>
      </c>
      <c r="AJ13" s="56">
        <v>52500</v>
      </c>
      <c r="AK13" s="55"/>
      <c r="AL13" s="56"/>
      <c r="AM13" s="56"/>
      <c r="AN13" s="56"/>
      <c r="AO13" s="56"/>
      <c r="AP13" s="55">
        <f t="shared" si="8"/>
        <v>1000</v>
      </c>
      <c r="AQ13" s="56">
        <v>250</v>
      </c>
      <c r="AR13" s="56">
        <v>250</v>
      </c>
      <c r="AS13" s="56">
        <v>250</v>
      </c>
      <c r="AT13" s="56">
        <v>250</v>
      </c>
      <c r="AU13" s="55">
        <f t="shared" si="9"/>
        <v>1000</v>
      </c>
      <c r="AV13" s="56">
        <v>250</v>
      </c>
      <c r="AW13" s="56">
        <v>250</v>
      </c>
      <c r="AX13" s="56">
        <v>250</v>
      </c>
      <c r="AY13" s="56">
        <v>250</v>
      </c>
      <c r="AZ13" s="55">
        <f t="shared" si="13"/>
        <v>3851571</v>
      </c>
      <c r="BA13" s="58">
        <f t="shared" si="10"/>
        <v>3851571</v>
      </c>
    </row>
    <row r="14" spans="1:82" ht="18.75">
      <c r="A14" s="30" t="s">
        <v>12</v>
      </c>
      <c r="B14" s="53">
        <f t="shared" si="1"/>
        <v>1489000</v>
      </c>
      <c r="C14" s="59">
        <v>372000</v>
      </c>
      <c r="D14" s="59">
        <v>372000</v>
      </c>
      <c r="E14" s="59">
        <v>372000</v>
      </c>
      <c r="F14" s="54">
        <v>373000</v>
      </c>
      <c r="G14" s="53">
        <f t="shared" si="2"/>
        <v>449678</v>
      </c>
      <c r="H14" s="54">
        <f t="shared" si="12"/>
        <v>112344</v>
      </c>
      <c r="I14" s="54">
        <f t="shared" si="12"/>
        <v>112344</v>
      </c>
      <c r="J14" s="54">
        <f t="shared" si="12"/>
        <v>112344</v>
      </c>
      <c r="K14" s="54">
        <f t="shared" si="12"/>
        <v>112646</v>
      </c>
      <c r="L14" s="55">
        <f t="shared" si="3"/>
        <v>8640</v>
      </c>
      <c r="M14" s="56">
        <v>2160</v>
      </c>
      <c r="N14" s="56">
        <v>2160</v>
      </c>
      <c r="O14" s="56">
        <v>2160</v>
      </c>
      <c r="P14" s="56">
        <v>2160</v>
      </c>
      <c r="Q14" s="55">
        <f t="shared" si="4"/>
        <v>0</v>
      </c>
      <c r="R14" s="56"/>
      <c r="S14" s="56"/>
      <c r="T14" s="56"/>
      <c r="U14" s="56"/>
      <c r="V14" s="55">
        <f t="shared" si="5"/>
        <v>98000</v>
      </c>
      <c r="W14" s="56">
        <v>24500</v>
      </c>
      <c r="X14" s="56">
        <v>24500</v>
      </c>
      <c r="Y14" s="56">
        <v>24500</v>
      </c>
      <c r="Z14" s="56">
        <v>24500</v>
      </c>
      <c r="AA14" s="55">
        <f t="shared" si="6"/>
        <v>36000</v>
      </c>
      <c r="AB14" s="56">
        <v>9000</v>
      </c>
      <c r="AC14" s="56">
        <v>9000</v>
      </c>
      <c r="AD14" s="56">
        <v>9000</v>
      </c>
      <c r="AE14" s="56">
        <v>9000</v>
      </c>
      <c r="AF14" s="55">
        <f t="shared" si="7"/>
        <v>62000</v>
      </c>
      <c r="AG14" s="56">
        <v>15500</v>
      </c>
      <c r="AH14" s="56">
        <v>15500</v>
      </c>
      <c r="AI14" s="56">
        <v>15500</v>
      </c>
      <c r="AJ14" s="56">
        <v>15500</v>
      </c>
      <c r="AK14" s="55"/>
      <c r="AL14" s="56"/>
      <c r="AM14" s="56"/>
      <c r="AN14" s="56"/>
      <c r="AO14" s="56"/>
      <c r="AP14" s="55">
        <f t="shared" si="8"/>
        <v>1000</v>
      </c>
      <c r="AQ14" s="56">
        <v>250</v>
      </c>
      <c r="AR14" s="56">
        <v>250</v>
      </c>
      <c r="AS14" s="56">
        <v>250</v>
      </c>
      <c r="AT14" s="56">
        <v>250</v>
      </c>
      <c r="AU14" s="55">
        <f t="shared" si="9"/>
        <v>1000</v>
      </c>
      <c r="AV14" s="56">
        <v>250</v>
      </c>
      <c r="AW14" s="56">
        <v>250</v>
      </c>
      <c r="AX14" s="56">
        <v>250</v>
      </c>
      <c r="AY14" s="56">
        <v>250</v>
      </c>
      <c r="AZ14" s="55">
        <f t="shared" si="13"/>
        <v>2145318</v>
      </c>
      <c r="BA14" s="58">
        <f t="shared" si="10"/>
        <v>2145318</v>
      </c>
    </row>
    <row r="15" spans="1:82" ht="19.5" thickBot="1">
      <c r="A15" s="30" t="s">
        <v>14</v>
      </c>
      <c r="B15" s="53">
        <f t="shared" si="1"/>
        <v>920700</v>
      </c>
      <c r="C15" s="59">
        <v>230000</v>
      </c>
      <c r="D15" s="59">
        <v>233100</v>
      </c>
      <c r="E15" s="59">
        <v>226600</v>
      </c>
      <c r="F15" s="54">
        <v>231000</v>
      </c>
      <c r="G15" s="53">
        <f t="shared" si="2"/>
        <v>278051.40000000002</v>
      </c>
      <c r="H15" s="54">
        <f t="shared" si="12"/>
        <v>69460</v>
      </c>
      <c r="I15" s="54">
        <f>D15*0.302-62</f>
        <v>70334.2</v>
      </c>
      <c r="J15" s="54">
        <f t="shared" si="12"/>
        <v>68433.2</v>
      </c>
      <c r="K15" s="54">
        <f>F15*0.302+62</f>
        <v>69824</v>
      </c>
      <c r="L15" s="55"/>
      <c r="M15" s="56"/>
      <c r="N15" s="56"/>
      <c r="O15" s="56"/>
      <c r="P15" s="56"/>
      <c r="Q15" s="55">
        <f t="shared" si="4"/>
        <v>0</v>
      </c>
      <c r="R15" s="62"/>
      <c r="S15" s="62"/>
      <c r="T15" s="62"/>
      <c r="U15" s="62"/>
      <c r="V15" s="55">
        <f t="shared" si="5"/>
        <v>1000</v>
      </c>
      <c r="W15" s="56">
        <v>250</v>
      </c>
      <c r="X15" s="56">
        <v>250</v>
      </c>
      <c r="Y15" s="56">
        <v>250</v>
      </c>
      <c r="Z15" s="56">
        <v>250</v>
      </c>
      <c r="AA15" s="55">
        <f t="shared" si="6"/>
        <v>1000</v>
      </c>
      <c r="AB15" s="56">
        <v>250</v>
      </c>
      <c r="AC15" s="56">
        <v>250</v>
      </c>
      <c r="AD15" s="56">
        <v>250</v>
      </c>
      <c r="AE15" s="56">
        <v>250</v>
      </c>
      <c r="AF15" s="55">
        <f t="shared" si="7"/>
        <v>1000</v>
      </c>
      <c r="AG15" s="56">
        <v>200</v>
      </c>
      <c r="AH15" s="56">
        <v>250</v>
      </c>
      <c r="AI15" s="56">
        <v>250</v>
      </c>
      <c r="AJ15" s="56">
        <v>300</v>
      </c>
      <c r="AK15" s="55"/>
      <c r="AL15" s="56"/>
      <c r="AM15" s="56"/>
      <c r="AN15" s="56"/>
      <c r="AO15" s="56"/>
      <c r="AP15" s="55">
        <f t="shared" si="8"/>
        <v>1000</v>
      </c>
      <c r="AQ15" s="56">
        <v>250</v>
      </c>
      <c r="AR15" s="56">
        <v>250</v>
      </c>
      <c r="AS15" s="56">
        <v>250</v>
      </c>
      <c r="AT15" s="56">
        <v>250</v>
      </c>
      <c r="AU15" s="55">
        <f t="shared" si="9"/>
        <v>1000</v>
      </c>
      <c r="AV15" s="56">
        <v>250</v>
      </c>
      <c r="AW15" s="56">
        <v>250</v>
      </c>
      <c r="AX15" s="56">
        <v>250</v>
      </c>
      <c r="AY15" s="56">
        <v>250</v>
      </c>
      <c r="AZ15" s="55">
        <f t="shared" si="13"/>
        <v>1203751.3999999999</v>
      </c>
      <c r="BA15" s="58">
        <f t="shared" si="10"/>
        <v>1203751.3999999999</v>
      </c>
    </row>
    <row r="16" spans="1:82" ht="19.5" thickBot="1">
      <c r="A16" s="28" t="s">
        <v>18</v>
      </c>
      <c r="B16" s="53">
        <f t="shared" si="1"/>
        <v>1255000</v>
      </c>
      <c r="C16" s="58">
        <v>313000</v>
      </c>
      <c r="D16" s="58">
        <v>313000</v>
      </c>
      <c r="E16" s="58">
        <v>313000</v>
      </c>
      <c r="F16" s="54">
        <v>316000</v>
      </c>
      <c r="G16" s="53">
        <f t="shared" si="2"/>
        <v>379010</v>
      </c>
      <c r="H16" s="54">
        <f>C16*0.302-62</f>
        <v>94464</v>
      </c>
      <c r="I16" s="54">
        <f t="shared" si="12"/>
        <v>94526</v>
      </c>
      <c r="J16" s="54">
        <f t="shared" si="12"/>
        <v>94526</v>
      </c>
      <c r="K16" s="54">
        <f>F16*0.302+62</f>
        <v>95494</v>
      </c>
      <c r="L16" s="55"/>
      <c r="M16" s="56"/>
      <c r="N16" s="56"/>
      <c r="O16" s="56"/>
      <c r="P16" s="56"/>
      <c r="Q16" s="55">
        <f t="shared" si="4"/>
        <v>500</v>
      </c>
      <c r="R16" s="64"/>
      <c r="S16" s="64">
        <v>400</v>
      </c>
      <c r="T16" s="64">
        <v>100</v>
      </c>
      <c r="U16" s="64"/>
      <c r="V16" s="55">
        <f t="shared" si="5"/>
        <v>78000</v>
      </c>
      <c r="W16" s="65">
        <v>19500</v>
      </c>
      <c r="X16" s="65">
        <v>19500</v>
      </c>
      <c r="Y16" s="65">
        <v>19500</v>
      </c>
      <c r="Z16" s="56">
        <v>19500</v>
      </c>
      <c r="AA16" s="55">
        <f t="shared" si="6"/>
        <v>29000</v>
      </c>
      <c r="AB16" s="56">
        <v>7250</v>
      </c>
      <c r="AC16" s="56">
        <v>7250</v>
      </c>
      <c r="AD16" s="56">
        <v>7250</v>
      </c>
      <c r="AE16" s="56">
        <v>7250</v>
      </c>
      <c r="AF16" s="55">
        <f t="shared" si="7"/>
        <v>8400</v>
      </c>
      <c r="AG16" s="56">
        <v>2100</v>
      </c>
      <c r="AH16" s="56">
        <v>2100</v>
      </c>
      <c r="AI16" s="56">
        <v>2100</v>
      </c>
      <c r="AJ16" s="56">
        <v>2100</v>
      </c>
      <c r="AK16" s="55"/>
      <c r="AL16" s="56"/>
      <c r="AM16" s="56"/>
      <c r="AN16" s="56"/>
      <c r="AO16" s="56"/>
      <c r="AP16" s="55">
        <f t="shared" si="8"/>
        <v>1000</v>
      </c>
      <c r="AQ16" s="56">
        <v>250</v>
      </c>
      <c r="AR16" s="56">
        <v>250</v>
      </c>
      <c r="AS16" s="56">
        <v>250</v>
      </c>
      <c r="AT16" s="56">
        <v>250</v>
      </c>
      <c r="AU16" s="55">
        <f t="shared" si="9"/>
        <v>157500</v>
      </c>
      <c r="AV16" s="65">
        <v>39000</v>
      </c>
      <c r="AW16" s="65">
        <v>39750</v>
      </c>
      <c r="AX16" s="65">
        <v>39375</v>
      </c>
      <c r="AY16" s="65">
        <v>39375</v>
      </c>
      <c r="AZ16" s="55">
        <f t="shared" si="13"/>
        <v>1908410</v>
      </c>
      <c r="BA16" s="58">
        <f t="shared" si="10"/>
        <v>1908410</v>
      </c>
    </row>
    <row r="17" spans="1:54" ht="18.75">
      <c r="A17" s="38" t="s">
        <v>5</v>
      </c>
      <c r="B17" s="63">
        <f>SUM(B5:B16)</f>
        <v>19064700</v>
      </c>
      <c r="C17" s="63">
        <f t="shared" ref="C17:F17" si="15">SUM(C5:C16)</f>
        <v>4766100</v>
      </c>
      <c r="D17" s="63">
        <f t="shared" si="15"/>
        <v>4766100</v>
      </c>
      <c r="E17" s="63">
        <f t="shared" si="15"/>
        <v>4766100</v>
      </c>
      <c r="F17" s="63">
        <f t="shared" si="15"/>
        <v>4766400</v>
      </c>
      <c r="G17" s="63">
        <f>SUM(G5:G16)</f>
        <v>5757500.4000000004</v>
      </c>
      <c r="H17" s="63">
        <f t="shared" ref="H17:K17" si="16">SUM(H5:H16)</f>
        <v>1439300.2</v>
      </c>
      <c r="I17" s="63">
        <f t="shared" si="16"/>
        <v>1439300.2</v>
      </c>
      <c r="J17" s="63">
        <f t="shared" si="16"/>
        <v>1439300.2</v>
      </c>
      <c r="K17" s="63">
        <f t="shared" si="16"/>
        <v>1439599.8</v>
      </c>
      <c r="L17" s="63">
        <f>SUM(L5:L16)</f>
        <v>77500</v>
      </c>
      <c r="M17" s="63">
        <f t="shared" ref="M17:P17" si="17">SUM(M5:M16)</f>
        <v>19300</v>
      </c>
      <c r="N17" s="63">
        <f t="shared" si="17"/>
        <v>19300</v>
      </c>
      <c r="O17" s="63">
        <f t="shared" si="17"/>
        <v>19300</v>
      </c>
      <c r="P17" s="63">
        <f t="shared" si="17"/>
        <v>19600</v>
      </c>
      <c r="Q17" s="55">
        <f t="shared" si="4"/>
        <v>2500</v>
      </c>
      <c r="R17" s="63">
        <f>SUM(R5:R16)</f>
        <v>700</v>
      </c>
      <c r="S17" s="63">
        <f t="shared" ref="S17:T17" si="18">SUM(S5:S16)</f>
        <v>700</v>
      </c>
      <c r="T17" s="63">
        <f t="shared" si="18"/>
        <v>600</v>
      </c>
      <c r="U17" s="63">
        <f>SUM(U5:U16)</f>
        <v>500</v>
      </c>
      <c r="V17" s="63">
        <f>SUM(V5:V16)</f>
        <v>2055700</v>
      </c>
      <c r="W17" s="63">
        <f>SUM(W5:W16)</f>
        <v>513900</v>
      </c>
      <c r="X17" s="63">
        <f t="shared" ref="X17:Z17" si="19">SUM(X5:X16)</f>
        <v>513900</v>
      </c>
      <c r="Y17" s="63">
        <f t="shared" si="19"/>
        <v>513900</v>
      </c>
      <c r="Z17" s="63">
        <f t="shared" si="19"/>
        <v>514000</v>
      </c>
      <c r="AA17" s="63">
        <f>SUM(AA5:AA16)</f>
        <v>332800</v>
      </c>
      <c r="AB17" s="63">
        <f t="shared" ref="AB17:AE17" si="20">SUM(AB5:AB16)</f>
        <v>83200</v>
      </c>
      <c r="AC17" s="63">
        <f t="shared" si="20"/>
        <v>83200</v>
      </c>
      <c r="AD17" s="63">
        <f t="shared" si="20"/>
        <v>83200</v>
      </c>
      <c r="AE17" s="63">
        <f t="shared" si="20"/>
        <v>83200</v>
      </c>
      <c r="AF17" s="63">
        <f>SUM(AF5:AF16)</f>
        <v>535800</v>
      </c>
      <c r="AG17" s="63">
        <f t="shared" ref="AG17:AJ17" si="21">SUM(AG5:AG16)</f>
        <v>133900</v>
      </c>
      <c r="AH17" s="63">
        <f t="shared" si="21"/>
        <v>133900</v>
      </c>
      <c r="AI17" s="63">
        <f t="shared" si="21"/>
        <v>133900</v>
      </c>
      <c r="AJ17" s="63">
        <f t="shared" si="21"/>
        <v>134100</v>
      </c>
      <c r="AK17" s="63">
        <f>SUM(AK5:AK16)</f>
        <v>45000</v>
      </c>
      <c r="AL17" s="63">
        <f t="shared" ref="AL17:AO17" si="22">SUM(AL5:AL16)</f>
        <v>11000</v>
      </c>
      <c r="AM17" s="63">
        <f t="shared" si="22"/>
        <v>11000</v>
      </c>
      <c r="AN17" s="63">
        <f t="shared" si="22"/>
        <v>11000</v>
      </c>
      <c r="AO17" s="63">
        <f t="shared" si="22"/>
        <v>12000</v>
      </c>
      <c r="AP17" s="63">
        <f>SUM(AP5:AP16)</f>
        <v>12000</v>
      </c>
      <c r="AQ17" s="63">
        <f>SUM(AQ5:AQ16)</f>
        <v>3000</v>
      </c>
      <c r="AR17" s="63">
        <f t="shared" ref="AR17:AT17" si="23">SUM(AR5:AR16)</f>
        <v>3000</v>
      </c>
      <c r="AS17" s="63">
        <f t="shared" si="23"/>
        <v>3000</v>
      </c>
      <c r="AT17" s="63">
        <f t="shared" si="23"/>
        <v>3000</v>
      </c>
      <c r="AU17" s="63">
        <f>SUM(AU5:AU16)</f>
        <v>565000</v>
      </c>
      <c r="AV17" s="63">
        <f t="shared" ref="AV17:AY17" si="24">SUM(AV5:AV16)</f>
        <v>141000</v>
      </c>
      <c r="AW17" s="63">
        <f t="shared" si="24"/>
        <v>141000</v>
      </c>
      <c r="AX17" s="63">
        <f t="shared" si="24"/>
        <v>141000</v>
      </c>
      <c r="AY17" s="63">
        <f t="shared" si="24"/>
        <v>142000</v>
      </c>
      <c r="AZ17" s="63">
        <f>SUM(AZ5:AZ16)</f>
        <v>28448500.399999999</v>
      </c>
      <c r="BA17" s="61">
        <f>SUM(BA5:BA16)</f>
        <v>28448500.399999999</v>
      </c>
      <c r="BB17" s="22">
        <f>AZ16-BA16</f>
        <v>0</v>
      </c>
    </row>
    <row r="18" spans="1:54" ht="15.75">
      <c r="A18" s="39"/>
      <c r="V18" s="22"/>
    </row>
  </sheetData>
  <mergeCells count="11">
    <mergeCell ref="AZ3:AZ4"/>
    <mergeCell ref="C3:F3"/>
    <mergeCell ref="H3:K3"/>
    <mergeCell ref="M3:P3"/>
    <mergeCell ref="R3:U3"/>
    <mergeCell ref="W3:Z3"/>
    <mergeCell ref="AB3:AE3"/>
    <mergeCell ref="AG3:AJ3"/>
    <mergeCell ref="AL3:AO3"/>
    <mergeCell ref="AQ3:AT3"/>
    <mergeCell ref="AV3:AY3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</vt:lpstr>
      <vt:lpstr>кварталы</vt:lpstr>
      <vt:lpstr>кварталы!Область_печати</vt:lpstr>
      <vt:lpstr>смета!Область_печати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</dc:creator>
  <cp:lastModifiedBy>User</cp:lastModifiedBy>
  <cp:lastPrinted>2019-12-30T05:23:32Z</cp:lastPrinted>
  <dcterms:created xsi:type="dcterms:W3CDTF">2017-01-10T10:22:48Z</dcterms:created>
  <dcterms:modified xsi:type="dcterms:W3CDTF">2020-01-01T16:43:51Z</dcterms:modified>
</cp:coreProperties>
</file>