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360" windowHeight="7755" activeTab="1"/>
  </bookViews>
  <sheets>
    <sheet name="смета 2020" sheetId="1" r:id="rId1"/>
    <sheet name="по кварталам" sheetId="2" r:id="rId2"/>
  </sheets>
  <definedNames>
    <definedName name="_xlnm.Print_Area" localSheetId="0">'смета 2020'!$AD$1:$AD$24</definedName>
  </definedNames>
  <calcPr calcId="124519"/>
</workbook>
</file>

<file path=xl/calcChain.xml><?xml version="1.0" encoding="utf-8"?>
<calcChain xmlns="http://schemas.openxmlformats.org/spreadsheetml/2006/main">
  <c r="BA4" i="2"/>
  <c r="BA5"/>
  <c r="BA6"/>
  <c r="BA7"/>
  <c r="BA8"/>
  <c r="BA9"/>
  <c r="BA10"/>
  <c r="BA11"/>
  <c r="BA12"/>
  <c r="BA13"/>
  <c r="BA14"/>
  <c r="BA15"/>
  <c r="BA16"/>
  <c r="BA17"/>
  <c r="BA18"/>
  <c r="BA19"/>
  <c r="BA20"/>
  <c r="BA21"/>
  <c r="BA22"/>
  <c r="BA23"/>
  <c r="BA24"/>
  <c r="BA3"/>
  <c r="L18"/>
  <c r="L20"/>
  <c r="I24"/>
  <c r="J24"/>
  <c r="K24"/>
  <c r="I20"/>
  <c r="J20"/>
  <c r="K20"/>
  <c r="H18"/>
  <c r="H20" s="1"/>
  <c r="I17"/>
  <c r="J17"/>
  <c r="K17"/>
  <c r="L17"/>
  <c r="H15"/>
  <c r="H17" s="1"/>
  <c r="H14"/>
  <c r="I6"/>
  <c r="J6"/>
  <c r="K6"/>
  <c r="L6"/>
  <c r="H4"/>
  <c r="H6" s="1"/>
  <c r="D20"/>
  <c r="D24" s="1"/>
  <c r="E20"/>
  <c r="F20"/>
  <c r="G20"/>
  <c r="C18"/>
  <c r="C20" s="1"/>
  <c r="D6"/>
  <c r="E6"/>
  <c r="E24" s="1"/>
  <c r="F6"/>
  <c r="G6"/>
  <c r="D17"/>
  <c r="E17"/>
  <c r="F17"/>
  <c r="F24" s="1"/>
  <c r="G17"/>
  <c r="G24" s="1"/>
  <c r="C15"/>
  <c r="C17" s="1"/>
  <c r="C14"/>
  <c r="C4"/>
  <c r="C6" s="1"/>
  <c r="AW23"/>
  <c r="AX23"/>
  <c r="AY23"/>
  <c r="AZ23"/>
  <c r="AV23"/>
  <c r="AV22"/>
  <c r="AV21"/>
  <c r="AW20"/>
  <c r="AX20"/>
  <c r="AY20"/>
  <c r="AZ20"/>
  <c r="AV20"/>
  <c r="AV18"/>
  <c r="AW17"/>
  <c r="AX17"/>
  <c r="AY17"/>
  <c r="AZ17"/>
  <c r="AV17"/>
  <c r="AV16"/>
  <c r="AV15"/>
  <c r="AV14"/>
  <c r="AV13"/>
  <c r="AV12"/>
  <c r="AV11"/>
  <c r="AV10"/>
  <c r="AV9"/>
  <c r="AV8"/>
  <c r="AV7"/>
  <c r="AW6"/>
  <c r="AX6"/>
  <c r="AY6"/>
  <c r="AZ6"/>
  <c r="AV6"/>
  <c r="AV5"/>
  <c r="AV4"/>
  <c r="AV3"/>
  <c r="AV24"/>
  <c r="AR23"/>
  <c r="AS23"/>
  <c r="AT23"/>
  <c r="AU23"/>
  <c r="AQ23"/>
  <c r="AQ20"/>
  <c r="AR20"/>
  <c r="AS20"/>
  <c r="AT20"/>
  <c r="AU20"/>
  <c r="AR17"/>
  <c r="AS17"/>
  <c r="AT17"/>
  <c r="AU17"/>
  <c r="AQ8"/>
  <c r="AQ9"/>
  <c r="AQ10"/>
  <c r="AQ11"/>
  <c r="AQ12"/>
  <c r="AQ13"/>
  <c r="AQ14"/>
  <c r="AQ15"/>
  <c r="AQ17" s="1"/>
  <c r="AQ7"/>
  <c r="AR6"/>
  <c r="AS6"/>
  <c r="AT6"/>
  <c r="AU6"/>
  <c r="AQ6"/>
  <c r="AQ4"/>
  <c r="AQ5"/>
  <c r="AQ3"/>
  <c r="AN24"/>
  <c r="AO24"/>
  <c r="AR24"/>
  <c r="AS24"/>
  <c r="AT24"/>
  <c r="AM23"/>
  <c r="AN23"/>
  <c r="AO23"/>
  <c r="AP23"/>
  <c r="AL23"/>
  <c r="AL21"/>
  <c r="AM20"/>
  <c r="AM24" s="1"/>
  <c r="AN20"/>
  <c r="AO20"/>
  <c r="AL18"/>
  <c r="AL20" s="1"/>
  <c r="AM17"/>
  <c r="AN17"/>
  <c r="AO17"/>
  <c r="AL17"/>
  <c r="AL15"/>
  <c r="AL14"/>
  <c r="AL13"/>
  <c r="AL12"/>
  <c r="AL11"/>
  <c r="AL10"/>
  <c r="AL9"/>
  <c r="AL8"/>
  <c r="AL7"/>
  <c r="AM6"/>
  <c r="AN6"/>
  <c r="AO6"/>
  <c r="AP6"/>
  <c r="AL6"/>
  <c r="AL4"/>
  <c r="AL3"/>
  <c r="AH24"/>
  <c r="AI24"/>
  <c r="AJ24"/>
  <c r="AK24"/>
  <c r="AH23"/>
  <c r="AI23"/>
  <c r="AJ23"/>
  <c r="AK23"/>
  <c r="AG23"/>
  <c r="AG22"/>
  <c r="AG21"/>
  <c r="AH20"/>
  <c r="AI20"/>
  <c r="AJ20"/>
  <c r="AK20"/>
  <c r="AG20"/>
  <c r="AG18"/>
  <c r="AH17"/>
  <c r="AI17"/>
  <c r="AJ17"/>
  <c r="AK17"/>
  <c r="AG17"/>
  <c r="AG16"/>
  <c r="AG15"/>
  <c r="AG14"/>
  <c r="AG13"/>
  <c r="AG12"/>
  <c r="AG11"/>
  <c r="AG10"/>
  <c r="AG9"/>
  <c r="AG8"/>
  <c r="AG7"/>
  <c r="AH6"/>
  <c r="AI6"/>
  <c r="AJ6"/>
  <c r="AK6"/>
  <c r="AG6"/>
  <c r="AG4"/>
  <c r="AG3"/>
  <c r="AC24"/>
  <c r="AD24"/>
  <c r="AE24"/>
  <c r="AF24"/>
  <c r="AG24"/>
  <c r="AC23"/>
  <c r="AD23"/>
  <c r="AE23"/>
  <c r="AF23"/>
  <c r="AB23"/>
  <c r="AB22"/>
  <c r="AB21"/>
  <c r="AC20"/>
  <c r="AD20"/>
  <c r="AE20"/>
  <c r="AF20"/>
  <c r="AB20"/>
  <c r="AB18"/>
  <c r="AC17"/>
  <c r="AD17"/>
  <c r="AE17"/>
  <c r="AF17"/>
  <c r="AB17"/>
  <c r="AB16"/>
  <c r="AB15"/>
  <c r="AB14"/>
  <c r="AB12"/>
  <c r="AB13"/>
  <c r="AB11"/>
  <c r="AB10"/>
  <c r="AB9"/>
  <c r="AB8"/>
  <c r="AB7"/>
  <c r="AB6"/>
  <c r="AB5"/>
  <c r="AB4"/>
  <c r="AB3"/>
  <c r="R24"/>
  <c r="S24"/>
  <c r="T24"/>
  <c r="U24"/>
  <c r="V24"/>
  <c r="W24"/>
  <c r="X24"/>
  <c r="Y24"/>
  <c r="Z24"/>
  <c r="AA24"/>
  <c r="X23"/>
  <c r="Y23"/>
  <c r="Z23"/>
  <c r="AA23"/>
  <c r="W23"/>
  <c r="W22"/>
  <c r="W21"/>
  <c r="X20"/>
  <c r="Y20"/>
  <c r="Z20"/>
  <c r="AA20"/>
  <c r="W20"/>
  <c r="W19"/>
  <c r="W18"/>
  <c r="X17"/>
  <c r="Y17"/>
  <c r="Z17"/>
  <c r="AA17"/>
  <c r="W17"/>
  <c r="W16"/>
  <c r="W15"/>
  <c r="W14"/>
  <c r="W13"/>
  <c r="W12"/>
  <c r="W11"/>
  <c r="W10"/>
  <c r="W9"/>
  <c r="W8"/>
  <c r="W7"/>
  <c r="X6"/>
  <c r="Y6"/>
  <c r="Z6"/>
  <c r="AA6"/>
  <c r="W6"/>
  <c r="W4"/>
  <c r="W3"/>
  <c r="R11"/>
  <c r="N24"/>
  <c r="O24"/>
  <c r="P24"/>
  <c r="Q24"/>
  <c r="N23"/>
  <c r="O23"/>
  <c r="P23"/>
  <c r="Q23"/>
  <c r="M23"/>
  <c r="M22"/>
  <c r="M21"/>
  <c r="N20"/>
  <c r="O20"/>
  <c r="P20"/>
  <c r="Q20"/>
  <c r="M20"/>
  <c r="M18"/>
  <c r="N17"/>
  <c r="O17"/>
  <c r="P17"/>
  <c r="Q17"/>
  <c r="M17"/>
  <c r="M16"/>
  <c r="M15"/>
  <c r="M14"/>
  <c r="M13"/>
  <c r="M12"/>
  <c r="M11"/>
  <c r="M10"/>
  <c r="M9"/>
  <c r="M8"/>
  <c r="M7"/>
  <c r="N6"/>
  <c r="O6"/>
  <c r="P6"/>
  <c r="Q6"/>
  <c r="M6"/>
  <c r="M4"/>
  <c r="M3"/>
  <c r="K19" i="1"/>
  <c r="H17"/>
  <c r="AC22"/>
  <c r="X15"/>
  <c r="S15"/>
  <c r="J5"/>
  <c r="J3"/>
  <c r="H13"/>
  <c r="G5"/>
  <c r="H3"/>
  <c r="H5"/>
  <c r="H19"/>
  <c r="G19"/>
  <c r="G23"/>
  <c r="G16"/>
  <c r="H16"/>
  <c r="H14"/>
  <c r="C11"/>
  <c r="AE22"/>
  <c r="AE16"/>
  <c r="AE5"/>
  <c r="L8"/>
  <c r="AH3"/>
  <c r="L21"/>
  <c r="L20"/>
  <c r="L17"/>
  <c r="L15"/>
  <c r="L14"/>
  <c r="L13"/>
  <c r="L12"/>
  <c r="L11"/>
  <c r="L10"/>
  <c r="L9"/>
  <c r="L7"/>
  <c r="L6"/>
  <c r="L3"/>
  <c r="L2"/>
  <c r="L24" i="2" l="1"/>
  <c r="H24"/>
  <c r="C24"/>
  <c r="AQ24"/>
  <c r="AL24"/>
  <c r="AB24"/>
  <c r="M24"/>
  <c r="AE23" i="1"/>
  <c r="AL3"/>
  <c r="AL4"/>
  <c r="AL5"/>
  <c r="AL6"/>
  <c r="AL7"/>
  <c r="AL8"/>
  <c r="AL9"/>
  <c r="AL10"/>
  <c r="AL11"/>
  <c r="AL12"/>
  <c r="AL13"/>
  <c r="AL14"/>
  <c r="AL15"/>
  <c r="AL16"/>
  <c r="AL17"/>
  <c r="AL18"/>
  <c r="AL19"/>
  <c r="AL21"/>
  <c r="AL22"/>
  <c r="AL2"/>
  <c r="AL20"/>
  <c r="G14"/>
  <c r="G17"/>
  <c r="G13"/>
  <c r="G3"/>
  <c r="AB20"/>
  <c r="AB18"/>
  <c r="AB17"/>
  <c r="AB19" s="1"/>
  <c r="Y22"/>
  <c r="Y16"/>
  <c r="AB16"/>
  <c r="AB15"/>
  <c r="AB14"/>
  <c r="AB22"/>
  <c r="AG23"/>
  <c r="AF23"/>
  <c r="AB3"/>
  <c r="AB5" s="1"/>
  <c r="AB4"/>
  <c r="AB6"/>
  <c r="AB7"/>
  <c r="AB8"/>
  <c r="AB9"/>
  <c r="AB10"/>
  <c r="AB11"/>
  <c r="AB12"/>
  <c r="AB13"/>
  <c r="AB21"/>
  <c r="Y23"/>
  <c r="W23"/>
  <c r="AB2"/>
  <c r="K22"/>
  <c r="Q23"/>
  <c r="R23"/>
  <c r="T23"/>
  <c r="U23"/>
  <c r="P3"/>
  <c r="P4"/>
  <c r="P6"/>
  <c r="P7"/>
  <c r="P8"/>
  <c r="P9"/>
  <c r="P10"/>
  <c r="P11"/>
  <c r="P12"/>
  <c r="P13"/>
  <c r="P14"/>
  <c r="P15"/>
  <c r="P17"/>
  <c r="P18"/>
  <c r="P20"/>
  <c r="P21"/>
  <c r="J4"/>
  <c r="J6"/>
  <c r="J7"/>
  <c r="J8"/>
  <c r="J9"/>
  <c r="J10"/>
  <c r="J11"/>
  <c r="J12"/>
  <c r="J13"/>
  <c r="J14"/>
  <c r="J15"/>
  <c r="J17"/>
  <c r="J18"/>
  <c r="J20"/>
  <c r="J21"/>
  <c r="J2"/>
  <c r="O20"/>
  <c r="M21"/>
  <c r="M20"/>
  <c r="C21"/>
  <c r="C20"/>
  <c r="X21"/>
  <c r="X20"/>
  <c r="X17"/>
  <c r="X7"/>
  <c r="X8"/>
  <c r="X9"/>
  <c r="X10"/>
  <c r="X11"/>
  <c r="X12"/>
  <c r="X13"/>
  <c r="X14"/>
  <c r="X6"/>
  <c r="X3"/>
  <c r="X2"/>
  <c r="T21"/>
  <c r="T20"/>
  <c r="T17"/>
  <c r="T7"/>
  <c r="T8"/>
  <c r="T9"/>
  <c r="T10"/>
  <c r="T11"/>
  <c r="T12"/>
  <c r="T13"/>
  <c r="T14"/>
  <c r="T15"/>
  <c r="T6"/>
  <c r="T3"/>
  <c r="T4"/>
  <c r="T2"/>
  <c r="S21"/>
  <c r="S20"/>
  <c r="S22" s="1"/>
  <c r="S17"/>
  <c r="S7"/>
  <c r="S8"/>
  <c r="S9"/>
  <c r="S10"/>
  <c r="S11"/>
  <c r="S12"/>
  <c r="S13"/>
  <c r="S14"/>
  <c r="S16" s="1"/>
  <c r="S23" s="1"/>
  <c r="S6"/>
  <c r="S3"/>
  <c r="S5"/>
  <c r="S19"/>
  <c r="S2"/>
  <c r="O17"/>
  <c r="O16"/>
  <c r="O15"/>
  <c r="O14"/>
  <c r="O12"/>
  <c r="O11"/>
  <c r="O10"/>
  <c r="O9"/>
  <c r="O8"/>
  <c r="O7"/>
  <c r="O6"/>
  <c r="O2"/>
  <c r="M17"/>
  <c r="M15"/>
  <c r="M14"/>
  <c r="M13"/>
  <c r="M12"/>
  <c r="M11"/>
  <c r="M10"/>
  <c r="M9"/>
  <c r="M8"/>
  <c r="M7"/>
  <c r="M6"/>
  <c r="M3"/>
  <c r="M2"/>
  <c r="C17"/>
  <c r="C13"/>
  <c r="C12"/>
  <c r="C10"/>
  <c r="C9"/>
  <c r="C8"/>
  <c r="C7"/>
  <c r="C6"/>
  <c r="C3"/>
  <c r="C2"/>
  <c r="H23"/>
  <c r="N23"/>
  <c r="D20"/>
  <c r="D14"/>
  <c r="D10"/>
  <c r="D9"/>
  <c r="D3"/>
  <c r="C5"/>
  <c r="AD19"/>
  <c r="AL23" l="1"/>
  <c r="AB23"/>
  <c r="AF29" i="2"/>
  <c r="AY24"/>
  <c r="AX24"/>
  <c r="AW24"/>
  <c r="AP16"/>
  <c r="AP17" s="1"/>
  <c r="AP19"/>
  <c r="AP20" s="1"/>
  <c r="AK19"/>
  <c r="AK5"/>
  <c r="AD6"/>
  <c r="AE6"/>
  <c r="AC6"/>
  <c r="AA5"/>
  <c r="V6"/>
  <c r="Q19"/>
  <c r="Q5"/>
  <c r="AI5" i="1"/>
  <c r="AI22"/>
  <c r="AH22"/>
  <c r="AG22"/>
  <c r="AF22"/>
  <c r="AD22"/>
  <c r="AA22"/>
  <c r="Z22"/>
  <c r="X22"/>
  <c r="W22"/>
  <c r="U22"/>
  <c r="T22"/>
  <c r="R22"/>
  <c r="O22"/>
  <c r="M22"/>
  <c r="L22"/>
  <c r="P22" s="1"/>
  <c r="I22"/>
  <c r="J22" s="1"/>
  <c r="D22"/>
  <c r="C22"/>
  <c r="AI19"/>
  <c r="AH19"/>
  <c r="AG19"/>
  <c r="AF19"/>
  <c r="AC19"/>
  <c r="AA19"/>
  <c r="Z19"/>
  <c r="Y19"/>
  <c r="X19"/>
  <c r="W19"/>
  <c r="U19"/>
  <c r="T19"/>
  <c r="R19"/>
  <c r="O19"/>
  <c r="M19"/>
  <c r="L19"/>
  <c r="P19" s="1"/>
  <c r="K23"/>
  <c r="I19"/>
  <c r="J19" s="1"/>
  <c r="D19"/>
  <c r="C19"/>
  <c r="AH5"/>
  <c r="AG5"/>
  <c r="AF5"/>
  <c r="AD5"/>
  <c r="AC5"/>
  <c r="AA5"/>
  <c r="Y5"/>
  <c r="X5"/>
  <c r="W5"/>
  <c r="U5"/>
  <c r="T5"/>
  <c r="R5"/>
  <c r="O5"/>
  <c r="M5"/>
  <c r="L5"/>
  <c r="I5"/>
  <c r="D5"/>
  <c r="AI16"/>
  <c r="AH16"/>
  <c r="AG16"/>
  <c r="AF16"/>
  <c r="AD16"/>
  <c r="AC16"/>
  <c r="AC23" s="1"/>
  <c r="AA16"/>
  <c r="X16"/>
  <c r="X23" s="1"/>
  <c r="W16"/>
  <c r="U16"/>
  <c r="T16"/>
  <c r="R16"/>
  <c r="M16"/>
  <c r="L16"/>
  <c r="P16" s="1"/>
  <c r="C16"/>
  <c r="D16"/>
  <c r="I16"/>
  <c r="J16" s="1"/>
  <c r="AJ3"/>
  <c r="AK3" s="1"/>
  <c r="AJ4"/>
  <c r="AK4" s="1"/>
  <c r="AM4" s="1"/>
  <c r="AJ6"/>
  <c r="AK6" s="1"/>
  <c r="AM6" s="1"/>
  <c r="AJ7"/>
  <c r="AK7" s="1"/>
  <c r="AM7" s="1"/>
  <c r="AJ8"/>
  <c r="AK8" s="1"/>
  <c r="AM8" s="1"/>
  <c r="AJ9"/>
  <c r="AK9" s="1"/>
  <c r="AM9" s="1"/>
  <c r="AJ10"/>
  <c r="AK10" s="1"/>
  <c r="AM10" s="1"/>
  <c r="AJ11"/>
  <c r="AJ12"/>
  <c r="AK12" s="1"/>
  <c r="AM12" s="1"/>
  <c r="AJ13"/>
  <c r="AK13" s="1"/>
  <c r="AM13" s="1"/>
  <c r="AJ14"/>
  <c r="AK14" s="1"/>
  <c r="AJ15"/>
  <c r="AK15" s="1"/>
  <c r="AM15" s="1"/>
  <c r="AJ17"/>
  <c r="AK17" s="1"/>
  <c r="AM17" s="1"/>
  <c r="AJ18"/>
  <c r="AK18" s="1"/>
  <c r="AM18" s="1"/>
  <c r="AJ20"/>
  <c r="AK20" s="1"/>
  <c r="AJ21"/>
  <c r="AK21" s="1"/>
  <c r="AM21" s="1"/>
  <c r="AJ2"/>
  <c r="V3"/>
  <c r="V4"/>
  <c r="V6"/>
  <c r="V7"/>
  <c r="V8"/>
  <c r="V9"/>
  <c r="V10"/>
  <c r="V11"/>
  <c r="V12"/>
  <c r="V13"/>
  <c r="V14"/>
  <c r="V15"/>
  <c r="V17"/>
  <c r="V18"/>
  <c r="V20"/>
  <c r="V21"/>
  <c r="V2"/>
  <c r="P2"/>
  <c r="E3"/>
  <c r="E4"/>
  <c r="E6"/>
  <c r="E7"/>
  <c r="E8"/>
  <c r="E9"/>
  <c r="E10"/>
  <c r="E11"/>
  <c r="E23" s="1"/>
  <c r="E12"/>
  <c r="E13"/>
  <c r="E14"/>
  <c r="E15"/>
  <c r="E17"/>
  <c r="E18"/>
  <c r="E20"/>
  <c r="E21"/>
  <c r="E2"/>
  <c r="AP24" i="2" l="1"/>
  <c r="AK25" i="1"/>
  <c r="AF30" i="2"/>
  <c r="AK11" i="1"/>
  <c r="AM11" s="1"/>
  <c r="AH23"/>
  <c r="AA23"/>
  <c r="P5"/>
  <c r="P23" s="1"/>
  <c r="L23"/>
  <c r="Z23"/>
  <c r="AD23"/>
  <c r="AK22"/>
  <c r="AM22" s="1"/>
  <c r="AM20"/>
  <c r="AK19"/>
  <c r="AM19" s="1"/>
  <c r="AM14"/>
  <c r="AK16"/>
  <c r="AM16" s="1"/>
  <c r="AI23"/>
  <c r="AM3"/>
  <c r="AK5"/>
  <c r="AM5" s="1"/>
  <c r="AK2"/>
  <c r="F23"/>
  <c r="C23"/>
  <c r="O23"/>
  <c r="D23"/>
  <c r="J23"/>
  <c r="M23"/>
  <c r="I23"/>
  <c r="E16"/>
  <c r="E19"/>
  <c r="AF6" i="2"/>
  <c r="V16" i="1"/>
  <c r="V23" s="1"/>
  <c r="E22"/>
  <c r="E5"/>
  <c r="V5"/>
  <c r="V22"/>
  <c r="AJ22"/>
  <c r="AJ19"/>
  <c r="AJ16"/>
  <c r="AJ5"/>
  <c r="V19"/>
  <c r="AJ23" l="1"/>
  <c r="AM2"/>
  <c r="AK23"/>
  <c r="AM23" s="1"/>
  <c r="AM24" s="1"/>
  <c r="AU24" i="2"/>
  <c r="AZ24" l="1"/>
</calcChain>
</file>

<file path=xl/sharedStrings.xml><?xml version="1.0" encoding="utf-8"?>
<sst xmlns="http://schemas.openxmlformats.org/spreadsheetml/2006/main" count="92" uniqueCount="62">
  <si>
    <t>Школа</t>
  </si>
  <si>
    <t>Код 221 (связь)</t>
  </si>
  <si>
    <t>221 телематика</t>
  </si>
  <si>
    <t>итого 221</t>
  </si>
  <si>
    <t>Код 222(под.уг.)</t>
  </si>
  <si>
    <t>Водители, 211</t>
  </si>
  <si>
    <t>Водители, 213</t>
  </si>
  <si>
    <t>223 -Кочегары, 211</t>
  </si>
  <si>
    <t>223-Кочегары, 213</t>
  </si>
  <si>
    <t>223 отопление</t>
  </si>
  <si>
    <t>223 эл.энергия</t>
  </si>
  <si>
    <t>223 вода</t>
  </si>
  <si>
    <t>223 ЖБО</t>
  </si>
  <si>
    <t>итого 223</t>
  </si>
  <si>
    <t>225 дератизация</t>
  </si>
  <si>
    <t>225 измерение сопротивлений</t>
  </si>
  <si>
    <t>итого 225</t>
  </si>
  <si>
    <t>226 страхование автомобиля</t>
  </si>
  <si>
    <t>226 кнопка МВД</t>
  </si>
  <si>
    <t>Код 226 анализы СЭС</t>
  </si>
  <si>
    <t>226 предрейсовый м.осм.</t>
  </si>
  <si>
    <t>226 медосмотр</t>
  </si>
  <si>
    <t>итого 226</t>
  </si>
  <si>
    <t>Код 290</t>
  </si>
  <si>
    <t>Код 340 (уголь)</t>
  </si>
  <si>
    <t>Код 340 (подвоз детей ГСМ)</t>
  </si>
  <si>
    <t>340 питание детей</t>
  </si>
  <si>
    <t>340 зап.части</t>
  </si>
  <si>
    <t>340 уч.расх.</t>
  </si>
  <si>
    <t>итого 340</t>
  </si>
  <si>
    <t>итого</t>
  </si>
  <si>
    <t>МБОУ Бочкаревская СОШ</t>
  </si>
  <si>
    <t>МБОУ Воеводская СОШ</t>
  </si>
  <si>
    <t>МБОУ Марушинская СОШ</t>
  </si>
  <si>
    <t>МБОУ Побединская СОШ</t>
  </si>
  <si>
    <t> Поповичевская ООШ, филиал МБОУ Побединская СОШ</t>
  </si>
  <si>
    <t>Итого МБОУ Побединская СОШ</t>
  </si>
  <si>
    <t>МБОУ Целинная СОШ № 1</t>
  </si>
  <si>
    <t>Верх-Яминская ООШ, филиал МБОУ Целинная СОШ №1</t>
  </si>
  <si>
    <t>Итого МБОУ Целинная СОШ № 1</t>
  </si>
  <si>
    <t>МБОУ Целинная СОШ № 2</t>
  </si>
  <si>
    <t> Хомутинская ООШ, филиал МБОУ Целинная СОШ№2</t>
  </si>
  <si>
    <t>Итого МБОУ Целинная СОШ№2</t>
  </si>
  <si>
    <t>ВСЕГО</t>
  </si>
  <si>
    <t>223 э/э столов.</t>
  </si>
  <si>
    <t>225 ТО автомобили</t>
  </si>
  <si>
    <t>МБОУ Овсянниковская СОШ</t>
  </si>
  <si>
    <t>МБОУ Сухо-Чемровская СОШ</t>
  </si>
  <si>
    <t>Сверчковская НОШ, филиал МБОУ Сухо-Чемровская СОШ</t>
  </si>
  <si>
    <t>МБОУ Верх-Марушинская ООШ</t>
  </si>
  <si>
    <t>МБОУ Еландинская ООШ</t>
  </si>
  <si>
    <t>МБОУ Ложкинская ООШ</t>
  </si>
  <si>
    <t>МБОУ Шалапская ООШ</t>
  </si>
  <si>
    <t>Итого МБОУ Сухо-Чемровская СОШ</t>
  </si>
  <si>
    <t>МБОУ Дружбинская СШ</t>
  </si>
  <si>
    <t>225 Сибирь-мониторинг ТО</t>
  </si>
  <si>
    <t>225сиб-мон</t>
  </si>
  <si>
    <t>водители</t>
  </si>
  <si>
    <t>итого с водит</t>
  </si>
  <si>
    <t>Итого 222</t>
  </si>
  <si>
    <t>итого 211 зп водители</t>
  </si>
  <si>
    <t>итого 213 налоги водит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</si>
</sst>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0" fontId="1" fillId="2" borderId="5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0" fillId="3" borderId="0" xfId="0" applyFill="1"/>
    <xf numFmtId="0" fontId="0" fillId="4" borderId="0" xfId="0" applyFill="1"/>
    <xf numFmtId="0" fontId="2" fillId="5" borderId="3" xfId="0" applyFont="1" applyFill="1" applyBorder="1" applyAlignment="1">
      <alignment wrapText="1"/>
    </xf>
    <xf numFmtId="0" fontId="3" fillId="5" borderId="3" xfId="0" applyFont="1" applyFill="1" applyBorder="1" applyAlignment="1">
      <alignment wrapText="1"/>
    </xf>
    <xf numFmtId="0" fontId="1" fillId="5" borderId="4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1" fillId="6" borderId="4" xfId="0" applyFont="1" applyFill="1" applyBorder="1" applyAlignment="1">
      <alignment wrapText="1"/>
    </xf>
    <xf numFmtId="0" fontId="0" fillId="6" borderId="0" xfId="0" applyFill="1"/>
    <xf numFmtId="0" fontId="3" fillId="6" borderId="7" xfId="0" applyFont="1" applyFill="1" applyBorder="1" applyAlignment="1">
      <alignment wrapText="1"/>
    </xf>
    <xf numFmtId="0" fontId="1" fillId="6" borderId="2" xfId="0" applyFont="1" applyFill="1" applyBorder="1" applyAlignment="1">
      <alignment horizontal="right" wrapText="1"/>
    </xf>
    <xf numFmtId="0" fontId="1" fillId="6" borderId="4" xfId="0" applyFont="1" applyFill="1" applyBorder="1" applyAlignment="1">
      <alignment horizontal="right" wrapText="1"/>
    </xf>
    <xf numFmtId="0" fontId="3" fillId="8" borderId="3" xfId="0" applyFont="1" applyFill="1" applyBorder="1" applyAlignment="1">
      <alignment wrapText="1"/>
    </xf>
    <xf numFmtId="0" fontId="1" fillId="8" borderId="4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8" borderId="3" xfId="0" applyFont="1" applyFill="1" applyBorder="1" applyAlignment="1">
      <alignment wrapText="1"/>
    </xf>
    <xf numFmtId="0" fontId="0" fillId="8" borderId="0" xfId="0" applyFill="1"/>
    <xf numFmtId="0" fontId="3" fillId="8" borderId="8" xfId="0" applyFont="1" applyFill="1" applyBorder="1" applyAlignment="1">
      <alignment wrapText="1"/>
    </xf>
    <xf numFmtId="0" fontId="1" fillId="8" borderId="5" xfId="0" applyFont="1" applyFill="1" applyBorder="1" applyAlignment="1">
      <alignment wrapText="1"/>
    </xf>
    <xf numFmtId="0" fontId="1" fillId="8" borderId="6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1" fillId="6" borderId="5" xfId="0" applyFont="1" applyFill="1" applyBorder="1" applyAlignment="1">
      <alignment wrapText="1"/>
    </xf>
    <xf numFmtId="0" fontId="0" fillId="8" borderId="3" xfId="0" applyFill="1" applyBorder="1"/>
    <xf numFmtId="0" fontId="3" fillId="4" borderId="3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0" fillId="4" borderId="3" xfId="0" applyFill="1" applyBorder="1"/>
    <xf numFmtId="0" fontId="3" fillId="5" borderId="9" xfId="0" applyFont="1" applyFill="1" applyBorder="1" applyAlignment="1">
      <alignment wrapText="1"/>
    </xf>
    <xf numFmtId="0" fontId="2" fillId="5" borderId="9" xfId="0" applyFont="1" applyFill="1" applyBorder="1" applyAlignment="1">
      <alignment wrapText="1"/>
    </xf>
    <xf numFmtId="0" fontId="3" fillId="6" borderId="9" xfId="0" applyFont="1" applyFill="1" applyBorder="1" applyAlignment="1">
      <alignment wrapText="1"/>
    </xf>
    <xf numFmtId="0" fontId="3" fillId="4" borderId="9" xfId="0" applyFont="1" applyFill="1" applyBorder="1" applyAlignment="1">
      <alignment wrapText="1"/>
    </xf>
    <xf numFmtId="0" fontId="3" fillId="8" borderId="9" xfId="0" applyFont="1" applyFill="1" applyBorder="1" applyAlignment="1">
      <alignment wrapText="1"/>
    </xf>
    <xf numFmtId="0" fontId="3" fillId="6" borderId="10" xfId="0" applyFont="1" applyFill="1" applyBorder="1" applyAlignment="1">
      <alignment wrapText="1"/>
    </xf>
    <xf numFmtId="0" fontId="3" fillId="6" borderId="11" xfId="0" applyFont="1" applyFill="1" applyBorder="1" applyAlignment="1">
      <alignment wrapText="1"/>
    </xf>
    <xf numFmtId="0" fontId="4" fillId="5" borderId="9" xfId="0" applyFont="1" applyFill="1" applyBorder="1" applyAlignment="1">
      <alignment wrapText="1"/>
    </xf>
    <xf numFmtId="0" fontId="0" fillId="0" borderId="3" xfId="0" applyBorder="1"/>
    <xf numFmtId="0" fontId="0" fillId="6" borderId="3" xfId="0" applyFill="1" applyBorder="1"/>
    <xf numFmtId="0" fontId="0" fillId="3" borderId="3" xfId="0" applyFill="1" applyBorder="1"/>
    <xf numFmtId="0" fontId="1" fillId="4" borderId="3" xfId="0" applyFont="1" applyFill="1" applyBorder="1" applyAlignment="1">
      <alignment wrapText="1"/>
    </xf>
    <xf numFmtId="0" fontId="3" fillId="4" borderId="10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1" fillId="4" borderId="13" xfId="0" applyFont="1" applyFill="1" applyBorder="1" applyAlignment="1">
      <alignment wrapText="1"/>
    </xf>
    <xf numFmtId="0" fontId="1" fillId="4" borderId="14" xfId="0" applyFont="1" applyFill="1" applyBorder="1" applyAlignment="1">
      <alignment wrapText="1"/>
    </xf>
    <xf numFmtId="0" fontId="1" fillId="4" borderId="2" xfId="0" applyFont="1" applyFill="1" applyBorder="1" applyAlignment="1">
      <alignment horizontal="right" wrapText="1"/>
    </xf>
    <xf numFmtId="0" fontId="0" fillId="4" borderId="7" xfId="0" applyFill="1" applyBorder="1" applyAlignment="1"/>
    <xf numFmtId="0" fontId="0" fillId="4" borderId="12" xfId="0" applyFill="1" applyBorder="1" applyAlignment="1"/>
    <xf numFmtId="0" fontId="0" fillId="4" borderId="8" xfId="0" applyFill="1" applyBorder="1" applyAlignment="1"/>
    <xf numFmtId="0" fontId="0" fillId="6" borderId="7" xfId="0" applyFill="1" applyBorder="1"/>
    <xf numFmtId="0" fontId="3" fillId="4" borderId="11" xfId="0" applyFont="1" applyFill="1" applyBorder="1" applyAlignment="1">
      <alignment wrapText="1"/>
    </xf>
    <xf numFmtId="0" fontId="0" fillId="6" borderId="8" xfId="0" applyFill="1" applyBorder="1"/>
    <xf numFmtId="0" fontId="1" fillId="4" borderId="5" xfId="0" applyFont="1" applyFill="1" applyBorder="1" applyAlignment="1">
      <alignment wrapText="1"/>
    </xf>
    <xf numFmtId="0" fontId="1" fillId="9" borderId="2" xfId="0" applyFont="1" applyFill="1" applyBorder="1" applyAlignment="1">
      <alignment wrapText="1"/>
    </xf>
    <xf numFmtId="0" fontId="1" fillId="9" borderId="3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2" xfId="0" applyFont="1" applyFill="1" applyBorder="1" applyAlignment="1">
      <alignment horizontal="right" wrapText="1"/>
    </xf>
    <xf numFmtId="0" fontId="1" fillId="9" borderId="4" xfId="0" applyFont="1" applyFill="1" applyBorder="1" applyAlignment="1">
      <alignment horizontal="right" wrapText="1"/>
    </xf>
    <xf numFmtId="0" fontId="1" fillId="9" borderId="5" xfId="0" applyFont="1" applyFill="1" applyBorder="1" applyAlignment="1">
      <alignment wrapText="1"/>
    </xf>
    <xf numFmtId="0" fontId="1" fillId="9" borderId="4" xfId="0" applyFont="1" applyFill="1" applyBorder="1" applyAlignment="1">
      <alignment wrapText="1"/>
    </xf>
    <xf numFmtId="0" fontId="0" fillId="9" borderId="0" xfId="0" applyFill="1"/>
    <xf numFmtId="0" fontId="1" fillId="9" borderId="1" xfId="0" applyFont="1" applyFill="1" applyBorder="1" applyAlignment="1">
      <alignment wrapText="1"/>
    </xf>
    <xf numFmtId="0" fontId="1" fillId="10" borderId="5" xfId="0" applyFont="1" applyFill="1" applyBorder="1" applyAlignment="1">
      <alignment wrapText="1"/>
    </xf>
    <xf numFmtId="0" fontId="1" fillId="10" borderId="4" xfId="0" applyFont="1" applyFill="1" applyBorder="1" applyAlignment="1">
      <alignment wrapText="1"/>
    </xf>
    <xf numFmtId="0" fontId="0" fillId="10" borderId="0" xfId="0" applyFill="1"/>
    <xf numFmtId="0" fontId="3" fillId="12" borderId="3" xfId="0" applyFont="1" applyFill="1" applyBorder="1" applyAlignment="1">
      <alignment wrapText="1"/>
    </xf>
    <xf numFmtId="0" fontId="1" fillId="12" borderId="4" xfId="0" applyFont="1" applyFill="1" applyBorder="1" applyAlignment="1">
      <alignment wrapText="1"/>
    </xf>
    <xf numFmtId="0" fontId="1" fillId="12" borderId="1" xfId="0" applyFont="1" applyFill="1" applyBorder="1" applyAlignment="1">
      <alignment wrapText="1"/>
    </xf>
    <xf numFmtId="0" fontId="1" fillId="12" borderId="5" xfId="0" applyFont="1" applyFill="1" applyBorder="1" applyAlignment="1">
      <alignment wrapText="1"/>
    </xf>
    <xf numFmtId="0" fontId="1" fillId="12" borderId="6" xfId="0" applyFont="1" applyFill="1" applyBorder="1" applyAlignment="1">
      <alignment wrapText="1"/>
    </xf>
    <xf numFmtId="0" fontId="3" fillId="11" borderId="3" xfId="0" applyFont="1" applyFill="1" applyBorder="1" applyAlignment="1">
      <alignment wrapText="1"/>
    </xf>
    <xf numFmtId="0" fontId="1" fillId="11" borderId="4" xfId="0" applyFont="1" applyFill="1" applyBorder="1" applyAlignment="1">
      <alignment horizontal="right" wrapText="1"/>
    </xf>
    <xf numFmtId="0" fontId="1" fillId="11" borderId="1" xfId="0" applyFont="1" applyFill="1" applyBorder="1" applyAlignment="1">
      <alignment horizontal="right" wrapText="1"/>
    </xf>
    <xf numFmtId="0" fontId="1" fillId="11" borderId="1" xfId="0" applyFont="1" applyFill="1" applyBorder="1" applyAlignment="1">
      <alignment wrapText="1"/>
    </xf>
    <xf numFmtId="0" fontId="1" fillId="12" borderId="4" xfId="0" applyFont="1" applyFill="1" applyBorder="1" applyAlignment="1">
      <alignment horizontal="right" wrapText="1"/>
    </xf>
    <xf numFmtId="0" fontId="1" fillId="12" borderId="1" xfId="0" applyFont="1" applyFill="1" applyBorder="1" applyAlignment="1">
      <alignment horizontal="right" wrapText="1"/>
    </xf>
    <xf numFmtId="0" fontId="3" fillId="12" borderId="8" xfId="0" applyFont="1" applyFill="1" applyBorder="1" applyAlignment="1">
      <alignment wrapText="1"/>
    </xf>
    <xf numFmtId="0" fontId="1" fillId="12" borderId="5" xfId="0" applyFont="1" applyFill="1" applyBorder="1" applyAlignment="1">
      <alignment horizontal="right" wrapText="1"/>
    </xf>
    <xf numFmtId="0" fontId="1" fillId="12" borderId="6" xfId="0" applyFont="1" applyFill="1" applyBorder="1" applyAlignment="1">
      <alignment horizontal="right" wrapText="1"/>
    </xf>
    <xf numFmtId="0" fontId="1" fillId="8" borderId="15" xfId="0" applyFont="1" applyFill="1" applyBorder="1" applyAlignment="1">
      <alignment wrapText="1"/>
    </xf>
    <xf numFmtId="0" fontId="1" fillId="8" borderId="16" xfId="0" applyFont="1" applyFill="1" applyBorder="1" applyAlignment="1">
      <alignment wrapText="1"/>
    </xf>
    <xf numFmtId="0" fontId="1" fillId="14" borderId="1" xfId="0" applyFont="1" applyFill="1" applyBorder="1" applyAlignment="1">
      <alignment wrapText="1"/>
    </xf>
    <xf numFmtId="0" fontId="0" fillId="14" borderId="0" xfId="0" applyFill="1"/>
    <xf numFmtId="1" fontId="1" fillId="2" borderId="1" xfId="0" applyNumberFormat="1" applyFont="1" applyFill="1" applyBorder="1" applyAlignment="1">
      <alignment horizontal="right" wrapText="1"/>
    </xf>
    <xf numFmtId="1" fontId="1" fillId="2" borderId="1" xfId="0" applyNumberFormat="1" applyFont="1" applyFill="1" applyBorder="1" applyAlignment="1">
      <alignment wrapText="1"/>
    </xf>
    <xf numFmtId="1" fontId="1" fillId="2" borderId="4" xfId="0" applyNumberFormat="1" applyFont="1" applyFill="1" applyBorder="1" applyAlignment="1">
      <alignment horizontal="right" wrapText="1"/>
    </xf>
    <xf numFmtId="1" fontId="1" fillId="12" borderId="1" xfId="0" applyNumberFormat="1" applyFont="1" applyFill="1" applyBorder="1" applyAlignment="1">
      <alignment wrapText="1"/>
    </xf>
    <xf numFmtId="0" fontId="4" fillId="5" borderId="7" xfId="0" applyFont="1" applyFill="1" applyBorder="1" applyAlignment="1">
      <alignment wrapText="1"/>
    </xf>
    <xf numFmtId="0" fontId="1" fillId="5" borderId="2" xfId="0" applyFont="1" applyFill="1" applyBorder="1" applyAlignment="1">
      <alignment wrapText="1"/>
    </xf>
    <xf numFmtId="0" fontId="1" fillId="12" borderId="17" xfId="0" applyFont="1" applyFill="1" applyBorder="1" applyAlignment="1">
      <alignment wrapText="1"/>
    </xf>
    <xf numFmtId="0" fontId="0" fillId="0" borderId="3" xfId="0" applyBorder="1" applyAlignment="1">
      <alignment wrapText="1"/>
    </xf>
    <xf numFmtId="1" fontId="0" fillId="0" borderId="3" xfId="0" applyNumberFormat="1" applyBorder="1"/>
    <xf numFmtId="0" fontId="0" fillId="0" borderId="18" xfId="0" applyFill="1" applyBorder="1"/>
    <xf numFmtId="1" fontId="0" fillId="4" borderId="0" xfId="0" applyNumberFormat="1" applyFill="1"/>
    <xf numFmtId="0" fontId="1" fillId="11" borderId="3" xfId="0" applyFont="1" applyFill="1" applyBorder="1" applyAlignment="1">
      <alignment wrapText="1"/>
    </xf>
    <xf numFmtId="0" fontId="1" fillId="13" borderId="3" xfId="0" applyFont="1" applyFill="1" applyBorder="1" applyAlignment="1">
      <alignment wrapText="1"/>
    </xf>
    <xf numFmtId="0" fontId="4" fillId="11" borderId="3" xfId="0" applyFont="1" applyFill="1" applyBorder="1" applyAlignment="1">
      <alignment wrapText="1"/>
    </xf>
    <xf numFmtId="0" fontId="1" fillId="11" borderId="9" xfId="0" applyFont="1" applyFill="1" applyBorder="1" applyAlignment="1">
      <alignment wrapText="1"/>
    </xf>
    <xf numFmtId="0" fontId="5" fillId="7" borderId="3" xfId="0" applyFont="1" applyFill="1" applyBorder="1" applyAlignment="1">
      <alignment wrapText="1"/>
    </xf>
    <xf numFmtId="0" fontId="5" fillId="10" borderId="3" xfId="0" applyFont="1" applyFill="1" applyBorder="1" applyAlignment="1">
      <alignment wrapText="1"/>
    </xf>
    <xf numFmtId="0" fontId="0" fillId="4" borderId="7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1" fillId="5" borderId="3" xfId="0" applyFont="1" applyFill="1" applyBorder="1" applyAlignment="1">
      <alignment wrapText="1"/>
    </xf>
    <xf numFmtId="0" fontId="4" fillId="9" borderId="3" xfId="0" applyFont="1" applyFill="1" applyBorder="1" applyAlignment="1">
      <alignment wrapText="1"/>
    </xf>
    <xf numFmtId="0" fontId="0" fillId="4" borderId="3" xfId="0" applyFill="1" applyBorder="1" applyAlignment="1">
      <alignment horizontal="center"/>
    </xf>
    <xf numFmtId="0" fontId="1" fillId="5" borderId="9" xfId="0" applyFont="1" applyFill="1" applyBorder="1" applyAlignment="1">
      <alignment wrapText="1"/>
    </xf>
    <xf numFmtId="0" fontId="1" fillId="4" borderId="19" xfId="0" applyFont="1" applyFill="1" applyBorder="1" applyAlignment="1">
      <alignment wrapText="1"/>
    </xf>
    <xf numFmtId="0" fontId="1" fillId="8" borderId="20" xfId="0" applyFont="1" applyFill="1" applyBorder="1" applyAlignment="1">
      <alignment wrapText="1"/>
    </xf>
    <xf numFmtId="0" fontId="1" fillId="8" borderId="2" xfId="0" applyFont="1" applyFill="1" applyBorder="1" applyAlignment="1">
      <alignment wrapText="1"/>
    </xf>
    <xf numFmtId="0" fontId="0" fillId="4" borderId="8" xfId="0" applyFill="1" applyBorder="1"/>
    <xf numFmtId="0" fontId="0" fillId="4" borderId="0" xfId="0" applyFill="1" applyBorder="1"/>
    <xf numFmtId="0" fontId="0" fillId="8" borderId="0" xfId="0" applyFill="1" applyBorder="1"/>
    <xf numFmtId="0" fontId="2" fillId="4" borderId="3" xfId="0" applyFont="1" applyFill="1" applyBorder="1" applyAlignment="1">
      <alignment wrapText="1"/>
    </xf>
    <xf numFmtId="0" fontId="4" fillId="4" borderId="3" xfId="0" applyFont="1" applyFill="1" applyBorder="1" applyAlignment="1">
      <alignment wrapText="1"/>
    </xf>
    <xf numFmtId="0" fontId="2" fillId="6" borderId="3" xfId="0" applyFont="1" applyFill="1" applyBorder="1" applyAlignment="1">
      <alignment wrapText="1"/>
    </xf>
    <xf numFmtId="0" fontId="1" fillId="6" borderId="3" xfId="0" applyFont="1" applyFill="1" applyBorder="1" applyAlignment="1">
      <alignment wrapText="1"/>
    </xf>
    <xf numFmtId="0" fontId="4" fillId="6" borderId="3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05"/>
  <sheetViews>
    <sheetView workbookViewId="0">
      <pane xSplit="2" ySplit="1" topLeftCell="X8" activePane="bottomRight" state="frozen"/>
      <selection pane="topRight" activeCell="C1" sqref="C1"/>
      <selection pane="bottomLeft" activeCell="A2" sqref="A2"/>
      <selection pane="bottomRight" activeCell="AM23" sqref="AM23"/>
    </sheetView>
  </sheetViews>
  <sheetFormatPr defaultRowHeight="15"/>
  <cols>
    <col min="1" max="1" width="13.28515625" customWidth="1"/>
    <col min="2" max="2" width="23.140625" customWidth="1"/>
    <col min="4" max="4" width="10.7109375" customWidth="1"/>
    <col min="5" max="5" width="9.140625" style="18"/>
    <col min="6" max="6" width="10.5703125" style="26" customWidth="1"/>
    <col min="14" max="14" width="9.140625" style="1"/>
    <col min="16" max="16" width="9.140625" style="18"/>
    <col min="18" max="18" width="9.140625" style="1"/>
    <col min="20" max="20" width="10.140625" customWidth="1"/>
    <col min="22" max="22" width="9.140625" style="18"/>
    <col min="28" max="28" width="9.140625" style="18"/>
    <col min="29" max="30" width="9.140625" style="26"/>
    <col min="36" max="36" width="9.140625" style="18"/>
    <col min="37" max="37" width="9.140625" style="11"/>
  </cols>
  <sheetData>
    <row r="1" spans="1:39" ht="54">
      <c r="A1" s="14" t="s">
        <v>0</v>
      </c>
      <c r="B1" s="13"/>
      <c r="C1" s="72" t="s">
        <v>1</v>
      </c>
      <c r="D1" s="72" t="s">
        <v>2</v>
      </c>
      <c r="E1" s="16" t="s">
        <v>3</v>
      </c>
      <c r="F1" s="22" t="s">
        <v>4</v>
      </c>
      <c r="G1" s="6" t="s">
        <v>5</v>
      </c>
      <c r="H1" s="6" t="s">
        <v>6</v>
      </c>
      <c r="I1" s="77" t="s">
        <v>7</v>
      </c>
      <c r="J1" s="77" t="s">
        <v>8</v>
      </c>
      <c r="K1" s="6" t="s">
        <v>9</v>
      </c>
      <c r="L1" s="72" t="s">
        <v>10</v>
      </c>
      <c r="M1" s="72" t="s">
        <v>11</v>
      </c>
      <c r="N1" s="6" t="s">
        <v>44</v>
      </c>
      <c r="O1" s="72" t="s">
        <v>12</v>
      </c>
      <c r="P1" s="19" t="s">
        <v>13</v>
      </c>
      <c r="Q1" s="8" t="s">
        <v>56</v>
      </c>
      <c r="R1" s="83" t="s">
        <v>45</v>
      </c>
      <c r="S1" s="72" t="s">
        <v>14</v>
      </c>
      <c r="T1" s="72" t="s">
        <v>55</v>
      </c>
      <c r="U1" s="77" t="s">
        <v>15</v>
      </c>
      <c r="V1" s="16" t="s">
        <v>16</v>
      </c>
      <c r="W1" s="72" t="s">
        <v>17</v>
      </c>
      <c r="X1" s="72" t="s">
        <v>18</v>
      </c>
      <c r="Y1" s="72" t="s">
        <v>19</v>
      </c>
      <c r="Z1" s="6" t="s">
        <v>20</v>
      </c>
      <c r="AA1" s="6" t="s">
        <v>21</v>
      </c>
      <c r="AB1" s="16" t="s">
        <v>22</v>
      </c>
      <c r="AC1" s="22" t="s">
        <v>23</v>
      </c>
      <c r="AD1" s="27">
        <v>310</v>
      </c>
      <c r="AE1" s="72" t="s">
        <v>24</v>
      </c>
      <c r="AF1" s="72" t="s">
        <v>25</v>
      </c>
      <c r="AG1" s="72" t="s">
        <v>26</v>
      </c>
      <c r="AH1" s="72" t="s">
        <v>27</v>
      </c>
      <c r="AI1" s="72" t="s">
        <v>28</v>
      </c>
      <c r="AJ1" s="16" t="s">
        <v>29</v>
      </c>
      <c r="AK1" s="94" t="s">
        <v>30</v>
      </c>
      <c r="AL1" s="72" t="s">
        <v>57</v>
      </c>
      <c r="AM1" s="97" t="s">
        <v>58</v>
      </c>
    </row>
    <row r="2" spans="1:39" ht="15.75" customHeight="1">
      <c r="A2" s="101" t="s">
        <v>46</v>
      </c>
      <c r="B2" s="101"/>
      <c r="C2" s="75">
        <f>508*12</f>
        <v>6096</v>
      </c>
      <c r="D2" s="73"/>
      <c r="E2" s="17">
        <f>C2+D2</f>
        <v>6096</v>
      </c>
      <c r="F2" s="23"/>
      <c r="G2" s="5"/>
      <c r="H2" s="92"/>
      <c r="I2" s="78">
        <v>500000</v>
      </c>
      <c r="J2" s="78">
        <f>I2*30.2%</f>
        <v>151000</v>
      </c>
      <c r="K2" s="5"/>
      <c r="L2" s="81">
        <f>35000*12</f>
        <v>420000</v>
      </c>
      <c r="M2" s="81">
        <f>1000*12</f>
        <v>12000</v>
      </c>
      <c r="N2" s="5"/>
      <c r="O2" s="81">
        <f>2500*12</f>
        <v>30000</v>
      </c>
      <c r="P2" s="20">
        <f>I2+J2+K2+L2+M2+N2+O2</f>
        <v>1113000</v>
      </c>
      <c r="Q2" s="9"/>
      <c r="R2" s="84"/>
      <c r="S2" s="81">
        <f>893*12</f>
        <v>10716</v>
      </c>
      <c r="T2" s="81">
        <f>1900*12</f>
        <v>22800</v>
      </c>
      <c r="U2" s="78">
        <v>2000</v>
      </c>
      <c r="V2" s="21">
        <f>Q2+R2+S2+T2+U2</f>
        <v>35516</v>
      </c>
      <c r="W2" s="81"/>
      <c r="X2" s="73">
        <f>1387*12</f>
        <v>16644</v>
      </c>
      <c r="Y2" s="73">
        <v>5000</v>
      </c>
      <c r="Z2" s="4"/>
      <c r="AA2" s="4">
        <v>30000</v>
      </c>
      <c r="AB2" s="17">
        <f>W2+X2+Y2+Z2+AA2</f>
        <v>51644</v>
      </c>
      <c r="AC2" s="86">
        <v>85000</v>
      </c>
      <c r="AD2" s="28">
        <v>5000</v>
      </c>
      <c r="AE2" s="73">
        <v>100000</v>
      </c>
      <c r="AF2" s="73"/>
      <c r="AG2" s="73">
        <v>13000</v>
      </c>
      <c r="AH2" s="73"/>
      <c r="AI2" s="73">
        <v>2000</v>
      </c>
      <c r="AJ2" s="17">
        <f>AE2+AF2+AG2+AH2+AI2</f>
        <v>115000</v>
      </c>
      <c r="AK2" s="95">
        <f>E2+F2+P2+V2+AB2+AC2+AD2+AJ2</f>
        <v>1411256</v>
      </c>
      <c r="AL2" s="98">
        <f>G2+H2</f>
        <v>0</v>
      </c>
      <c r="AM2" s="44">
        <f>AK2+AL2</f>
        <v>1411256</v>
      </c>
    </row>
    <row r="3" spans="1:39" ht="19.5" customHeight="1">
      <c r="A3" s="102" t="s">
        <v>47</v>
      </c>
      <c r="B3" s="102"/>
      <c r="C3" s="76">
        <f>1200*12</f>
        <v>14400</v>
      </c>
      <c r="D3" s="74">
        <f>500*12</f>
        <v>6000</v>
      </c>
      <c r="E3" s="17">
        <f t="shared" ref="E3:E21" si="0">C3+D3</f>
        <v>20400</v>
      </c>
      <c r="F3" s="24"/>
      <c r="G3" s="3">
        <f>13950*12</f>
        <v>167400</v>
      </c>
      <c r="H3" s="90">
        <f>G3*30.2%</f>
        <v>50554.799999999996</v>
      </c>
      <c r="I3" s="79">
        <v>627000</v>
      </c>
      <c r="J3" s="78">
        <f>I3*30.2%-14</f>
        <v>189340</v>
      </c>
      <c r="K3" s="3"/>
      <c r="L3" s="82">
        <f>13000*12</f>
        <v>156000</v>
      </c>
      <c r="M3" s="82">
        <f>1200*12</f>
        <v>14400</v>
      </c>
      <c r="N3" s="3"/>
      <c r="O3" s="82">
        <v>6000</v>
      </c>
      <c r="P3" s="20">
        <f t="shared" ref="P3:P22" si="1">I3+J3+K3+L3+M3+N3+O3</f>
        <v>992740</v>
      </c>
      <c r="Q3" s="10"/>
      <c r="R3" s="85">
        <v>2000</v>
      </c>
      <c r="S3" s="81">
        <f>893*12</f>
        <v>10716</v>
      </c>
      <c r="T3" s="81">
        <f t="shared" ref="T3:T4" si="2">1900*12</f>
        <v>22800</v>
      </c>
      <c r="U3" s="78">
        <v>2000</v>
      </c>
      <c r="V3" s="21">
        <f t="shared" ref="V3:V21" si="3">Q3+R3+S3+T3+U3</f>
        <v>37516</v>
      </c>
      <c r="W3" s="82">
        <v>5000</v>
      </c>
      <c r="X3" s="73">
        <f>1387*12</f>
        <v>16644</v>
      </c>
      <c r="Y3" s="74">
        <v>8000</v>
      </c>
      <c r="Z3" s="2"/>
      <c r="AA3" s="2">
        <v>40000</v>
      </c>
      <c r="AB3" s="17">
        <f t="shared" ref="AB3:AB21" si="4">W3+X3+Y3+Z3+AA3</f>
        <v>69644</v>
      </c>
      <c r="AC3" s="87">
        <v>50000</v>
      </c>
      <c r="AD3" s="28">
        <v>5000</v>
      </c>
      <c r="AE3" s="74">
        <v>100000</v>
      </c>
      <c r="AF3" s="74">
        <v>180000</v>
      </c>
      <c r="AG3" s="74">
        <v>17000</v>
      </c>
      <c r="AH3" s="74">
        <f>5000+15000</f>
        <v>20000</v>
      </c>
      <c r="AI3" s="74">
        <v>2000</v>
      </c>
      <c r="AJ3" s="17">
        <f t="shared" ref="AJ3:AJ21" si="5">AE3+AF3+AG3+AH3+AI3</f>
        <v>319000</v>
      </c>
      <c r="AK3" s="95">
        <f t="shared" ref="AK3:AK21" si="6">E3+F3+P3+V3+AB3+AC3+AD3+AJ3</f>
        <v>1494300</v>
      </c>
      <c r="AL3" s="98">
        <f t="shared" ref="AL3:AL23" si="7">G3+H3</f>
        <v>217954.8</v>
      </c>
      <c r="AM3" s="44">
        <f t="shared" ref="AM3:AM23" si="8">AK3+AL3</f>
        <v>1712254.8</v>
      </c>
    </row>
    <row r="4" spans="1:39" ht="24.75" customHeight="1">
      <c r="A4" s="102" t="s">
        <v>48</v>
      </c>
      <c r="B4" s="102"/>
      <c r="C4" s="76"/>
      <c r="D4" s="74"/>
      <c r="E4" s="17">
        <f t="shared" si="0"/>
        <v>0</v>
      </c>
      <c r="F4" s="24"/>
      <c r="G4" s="3"/>
      <c r="H4" s="90"/>
      <c r="I4" s="79"/>
      <c r="J4" s="78">
        <f t="shared" ref="J4:J22" si="9">I4*30.2%</f>
        <v>0</v>
      </c>
      <c r="K4" s="3"/>
      <c r="L4" s="82"/>
      <c r="M4" s="82"/>
      <c r="N4" s="3"/>
      <c r="O4" s="82"/>
      <c r="P4" s="20">
        <f t="shared" si="1"/>
        <v>0</v>
      </c>
      <c r="Q4" s="10"/>
      <c r="R4" s="85"/>
      <c r="S4" s="82"/>
      <c r="T4" s="81">
        <f t="shared" si="2"/>
        <v>22800</v>
      </c>
      <c r="U4" s="79"/>
      <c r="V4" s="21">
        <f t="shared" si="3"/>
        <v>22800</v>
      </c>
      <c r="W4" s="82"/>
      <c r="X4" s="74"/>
      <c r="Y4" s="74"/>
      <c r="Z4" s="2"/>
      <c r="AA4" s="2"/>
      <c r="AB4" s="17">
        <f t="shared" si="4"/>
        <v>0</v>
      </c>
      <c r="AC4" s="87"/>
      <c r="AD4" s="28"/>
      <c r="AE4" s="74"/>
      <c r="AF4" s="74"/>
      <c r="AG4" s="74">
        <v>2800</v>
      </c>
      <c r="AH4" s="74"/>
      <c r="AI4" s="74"/>
      <c r="AJ4" s="17">
        <f t="shared" si="5"/>
        <v>2800</v>
      </c>
      <c r="AK4" s="95">
        <f t="shared" si="6"/>
        <v>25600</v>
      </c>
      <c r="AL4" s="98">
        <f t="shared" si="7"/>
        <v>0</v>
      </c>
      <c r="AM4" s="44">
        <f t="shared" si="8"/>
        <v>25600</v>
      </c>
    </row>
    <row r="5" spans="1:39" ht="25.5" customHeight="1">
      <c r="A5" s="103" t="s">
        <v>53</v>
      </c>
      <c r="B5" s="103"/>
      <c r="C5" s="76">
        <f>C3+C4</f>
        <v>14400</v>
      </c>
      <c r="D5" s="74">
        <f>D3+D4</f>
        <v>6000</v>
      </c>
      <c r="E5" s="17">
        <f t="shared" si="0"/>
        <v>20400</v>
      </c>
      <c r="F5" s="24"/>
      <c r="G5" s="2">
        <f>G3</f>
        <v>167400</v>
      </c>
      <c r="H5" s="91">
        <f>H3</f>
        <v>50554.799999999996</v>
      </c>
      <c r="I5" s="80">
        <f>I3+I4</f>
        <v>627000</v>
      </c>
      <c r="J5" s="78">
        <f>J3</f>
        <v>189340</v>
      </c>
      <c r="K5" s="2"/>
      <c r="L5" s="74">
        <f>L3+L4</f>
        <v>156000</v>
      </c>
      <c r="M5" s="74">
        <f>M3+M4</f>
        <v>14400</v>
      </c>
      <c r="N5" s="2"/>
      <c r="O5" s="74">
        <f>O3+O4</f>
        <v>6000</v>
      </c>
      <c r="P5" s="20">
        <f t="shared" si="1"/>
        <v>992740</v>
      </c>
      <c r="Q5" s="10"/>
      <c r="R5" s="85">
        <f t="shared" ref="R5:Y5" si="10">R3+R4</f>
        <v>2000</v>
      </c>
      <c r="S5" s="74">
        <f t="shared" si="10"/>
        <v>10716</v>
      </c>
      <c r="T5" s="74">
        <f t="shared" si="10"/>
        <v>45600</v>
      </c>
      <c r="U5" s="80">
        <f t="shared" si="10"/>
        <v>2000</v>
      </c>
      <c r="V5" s="21">
        <f t="shared" si="10"/>
        <v>60316</v>
      </c>
      <c r="W5" s="74">
        <f t="shared" si="10"/>
        <v>5000</v>
      </c>
      <c r="X5" s="74">
        <f t="shared" si="10"/>
        <v>16644</v>
      </c>
      <c r="Y5" s="74">
        <f t="shared" si="10"/>
        <v>8000</v>
      </c>
      <c r="Z5" s="2"/>
      <c r="AA5" s="2">
        <f>AA3+AA4</f>
        <v>40000</v>
      </c>
      <c r="AB5" s="17">
        <f>AB3+AB4</f>
        <v>69644</v>
      </c>
      <c r="AC5" s="87">
        <f>AC3+AC4</f>
        <v>50000</v>
      </c>
      <c r="AD5" s="29">
        <f t="shared" ref="AD5:AJ5" si="11">AD3+AD4</f>
        <v>5000</v>
      </c>
      <c r="AE5" s="74">
        <f>AE3+AE4</f>
        <v>100000</v>
      </c>
      <c r="AF5" s="74">
        <f t="shared" si="11"/>
        <v>180000</v>
      </c>
      <c r="AG5" s="74">
        <f t="shared" si="11"/>
        <v>19800</v>
      </c>
      <c r="AH5" s="74">
        <f t="shared" si="11"/>
        <v>20000</v>
      </c>
      <c r="AI5" s="74">
        <f>AI3+AI4</f>
        <v>2000</v>
      </c>
      <c r="AJ5" s="17">
        <f t="shared" si="11"/>
        <v>321800</v>
      </c>
      <c r="AK5" s="95">
        <f>AK3+AK4</f>
        <v>1519900</v>
      </c>
      <c r="AL5" s="98">
        <f t="shared" si="7"/>
        <v>217954.8</v>
      </c>
      <c r="AM5" s="44">
        <f t="shared" si="8"/>
        <v>1737854.8</v>
      </c>
    </row>
    <row r="6" spans="1:39" ht="13.5" customHeight="1">
      <c r="A6" s="101" t="s">
        <v>49</v>
      </c>
      <c r="B6" s="101"/>
      <c r="C6" s="76">
        <f>1015*12</f>
        <v>12180</v>
      </c>
      <c r="D6" s="74"/>
      <c r="E6" s="17">
        <f t="shared" si="0"/>
        <v>12180</v>
      </c>
      <c r="F6" s="24"/>
      <c r="G6" s="3"/>
      <c r="H6" s="90"/>
      <c r="I6" s="79">
        <v>500000</v>
      </c>
      <c r="J6" s="78">
        <f t="shared" si="9"/>
        <v>151000</v>
      </c>
      <c r="K6" s="3"/>
      <c r="L6" s="82">
        <f>25000*12</f>
        <v>300000</v>
      </c>
      <c r="M6" s="82">
        <f>500*12</f>
        <v>6000</v>
      </c>
      <c r="N6" s="3"/>
      <c r="O6" s="82">
        <f>2500*12</f>
        <v>30000</v>
      </c>
      <c r="P6" s="20">
        <f t="shared" si="1"/>
        <v>987000</v>
      </c>
      <c r="Q6" s="10"/>
      <c r="R6" s="85"/>
      <c r="S6" s="82">
        <f>893*12</f>
        <v>10716</v>
      </c>
      <c r="T6" s="82">
        <f>1900*12</f>
        <v>22800</v>
      </c>
      <c r="U6" s="79">
        <v>2000</v>
      </c>
      <c r="V6" s="21">
        <f t="shared" si="3"/>
        <v>35516</v>
      </c>
      <c r="W6" s="82"/>
      <c r="X6" s="74">
        <f>1387*12</f>
        <v>16644</v>
      </c>
      <c r="Y6" s="74">
        <v>5000</v>
      </c>
      <c r="Z6" s="2"/>
      <c r="AA6" s="2">
        <v>28000</v>
      </c>
      <c r="AB6" s="17">
        <f t="shared" si="4"/>
        <v>49644</v>
      </c>
      <c r="AC6" s="87">
        <v>18000</v>
      </c>
      <c r="AD6" s="29">
        <v>5000</v>
      </c>
      <c r="AE6" s="74">
        <v>80000</v>
      </c>
      <c r="AF6" s="74"/>
      <c r="AG6" s="74">
        <v>9000</v>
      </c>
      <c r="AH6" s="74"/>
      <c r="AI6" s="74">
        <v>2000</v>
      </c>
      <c r="AJ6" s="17">
        <f t="shared" si="5"/>
        <v>91000</v>
      </c>
      <c r="AK6" s="95">
        <f t="shared" si="6"/>
        <v>1198340</v>
      </c>
      <c r="AL6" s="98">
        <f t="shared" si="7"/>
        <v>0</v>
      </c>
      <c r="AM6" s="44">
        <f t="shared" si="8"/>
        <v>1198340</v>
      </c>
    </row>
    <row r="7" spans="1:39" ht="16.5" customHeight="1">
      <c r="A7" s="101" t="s">
        <v>50</v>
      </c>
      <c r="B7" s="101"/>
      <c r="C7" s="76">
        <f>508*12</f>
        <v>6096</v>
      </c>
      <c r="D7" s="74"/>
      <c r="E7" s="17">
        <f t="shared" si="0"/>
        <v>6096</v>
      </c>
      <c r="F7" s="24"/>
      <c r="G7" s="3"/>
      <c r="H7" s="90"/>
      <c r="I7" s="79">
        <v>500000</v>
      </c>
      <c r="J7" s="78">
        <f t="shared" si="9"/>
        <v>151000</v>
      </c>
      <c r="K7" s="3"/>
      <c r="L7" s="82">
        <f>35000*12</f>
        <v>420000</v>
      </c>
      <c r="M7" s="82">
        <f>2500*12</f>
        <v>30000</v>
      </c>
      <c r="N7" s="3"/>
      <c r="O7" s="82">
        <f>1000*12</f>
        <v>12000</v>
      </c>
      <c r="P7" s="20">
        <f t="shared" si="1"/>
        <v>1113000</v>
      </c>
      <c r="Q7" s="10"/>
      <c r="R7" s="85"/>
      <c r="S7" s="82">
        <f t="shared" ref="S7:S14" si="12">893*12</f>
        <v>10716</v>
      </c>
      <c r="T7" s="82">
        <f t="shared" ref="T7:T15" si="13">1900*12</f>
        <v>22800</v>
      </c>
      <c r="U7" s="79">
        <v>2000</v>
      </c>
      <c r="V7" s="21">
        <f t="shared" si="3"/>
        <v>35516</v>
      </c>
      <c r="W7" s="82"/>
      <c r="X7" s="74">
        <f t="shared" ref="X7:X14" si="14">1387*12</f>
        <v>16644</v>
      </c>
      <c r="Y7" s="74">
        <v>5000</v>
      </c>
      <c r="Z7" s="2"/>
      <c r="AA7" s="2">
        <v>21000</v>
      </c>
      <c r="AB7" s="17">
        <f t="shared" si="4"/>
        <v>42644</v>
      </c>
      <c r="AC7" s="87">
        <v>43000</v>
      </c>
      <c r="AD7" s="29">
        <v>5000</v>
      </c>
      <c r="AE7" s="74">
        <v>100000</v>
      </c>
      <c r="AF7" s="74"/>
      <c r="AG7" s="74">
        <v>12000</v>
      </c>
      <c r="AH7" s="74"/>
      <c r="AI7" s="74">
        <v>2000</v>
      </c>
      <c r="AJ7" s="17">
        <f t="shared" si="5"/>
        <v>114000</v>
      </c>
      <c r="AK7" s="95">
        <f t="shared" si="6"/>
        <v>1359256</v>
      </c>
      <c r="AL7" s="98">
        <f t="shared" si="7"/>
        <v>0</v>
      </c>
      <c r="AM7" s="44">
        <f t="shared" si="8"/>
        <v>1359256</v>
      </c>
    </row>
    <row r="8" spans="1:39" ht="13.5" customHeight="1">
      <c r="A8" s="101" t="s">
        <v>51</v>
      </c>
      <c r="B8" s="101"/>
      <c r="C8" s="76">
        <f>1000*12</f>
        <v>12000</v>
      </c>
      <c r="D8" s="74"/>
      <c r="E8" s="17">
        <f t="shared" si="0"/>
        <v>12000</v>
      </c>
      <c r="F8" s="24"/>
      <c r="G8" s="3"/>
      <c r="H8" s="90"/>
      <c r="I8" s="79">
        <v>370000</v>
      </c>
      <c r="J8" s="78">
        <f t="shared" si="9"/>
        <v>111740</v>
      </c>
      <c r="K8" s="3"/>
      <c r="L8" s="82">
        <f>4000*12+30000</f>
        <v>78000</v>
      </c>
      <c r="M8" s="82">
        <f>450*12</f>
        <v>5400</v>
      </c>
      <c r="N8" s="3"/>
      <c r="O8" s="82">
        <f>500*12</f>
        <v>6000</v>
      </c>
      <c r="P8" s="20">
        <f t="shared" si="1"/>
        <v>571140</v>
      </c>
      <c r="Q8" s="10"/>
      <c r="R8" s="85"/>
      <c r="S8" s="82">
        <f t="shared" si="12"/>
        <v>10716</v>
      </c>
      <c r="T8" s="82">
        <f t="shared" si="13"/>
        <v>22800</v>
      </c>
      <c r="U8" s="79">
        <v>2000</v>
      </c>
      <c r="V8" s="21">
        <f t="shared" si="3"/>
        <v>35516</v>
      </c>
      <c r="W8" s="82"/>
      <c r="X8" s="74">
        <f t="shared" si="14"/>
        <v>16644</v>
      </c>
      <c r="Y8" s="74">
        <v>8000</v>
      </c>
      <c r="Z8" s="2"/>
      <c r="AA8" s="2">
        <v>35000</v>
      </c>
      <c r="AB8" s="17">
        <f t="shared" si="4"/>
        <v>59644</v>
      </c>
      <c r="AC8" s="87">
        <v>20000</v>
      </c>
      <c r="AD8" s="29">
        <v>5000</v>
      </c>
      <c r="AE8" s="74">
        <v>100000</v>
      </c>
      <c r="AF8" s="74"/>
      <c r="AG8" s="74">
        <v>9000</v>
      </c>
      <c r="AH8" s="74"/>
      <c r="AI8" s="74">
        <v>2000</v>
      </c>
      <c r="AJ8" s="17">
        <f t="shared" si="5"/>
        <v>111000</v>
      </c>
      <c r="AK8" s="95">
        <f t="shared" si="6"/>
        <v>814300</v>
      </c>
      <c r="AL8" s="98">
        <f t="shared" si="7"/>
        <v>0</v>
      </c>
      <c r="AM8" s="44">
        <f t="shared" si="8"/>
        <v>814300</v>
      </c>
    </row>
    <row r="9" spans="1:39" ht="15" customHeight="1">
      <c r="A9" s="101" t="s">
        <v>52</v>
      </c>
      <c r="B9" s="101"/>
      <c r="C9" s="76">
        <f>1015*12</f>
        <v>12180</v>
      </c>
      <c r="D9" s="74">
        <f>500*12</f>
        <v>6000</v>
      </c>
      <c r="E9" s="17">
        <f t="shared" si="0"/>
        <v>18180</v>
      </c>
      <c r="F9" s="24"/>
      <c r="G9" s="3"/>
      <c r="H9" s="90"/>
      <c r="I9" s="79">
        <v>500000</v>
      </c>
      <c r="J9" s="78">
        <f t="shared" si="9"/>
        <v>151000</v>
      </c>
      <c r="K9" s="3"/>
      <c r="L9" s="82">
        <f>30000*12</f>
        <v>360000</v>
      </c>
      <c r="M9" s="82">
        <f>800*12</f>
        <v>9600</v>
      </c>
      <c r="N9" s="3"/>
      <c r="O9" s="82">
        <f>1000*12</f>
        <v>12000</v>
      </c>
      <c r="P9" s="20">
        <f t="shared" si="1"/>
        <v>1032600</v>
      </c>
      <c r="Q9" s="10"/>
      <c r="R9" s="85">
        <v>2000</v>
      </c>
      <c r="S9" s="82">
        <f t="shared" si="12"/>
        <v>10716</v>
      </c>
      <c r="T9" s="82">
        <f t="shared" si="13"/>
        <v>22800</v>
      </c>
      <c r="U9" s="79">
        <v>2000</v>
      </c>
      <c r="V9" s="21">
        <f t="shared" si="3"/>
        <v>37516</v>
      </c>
      <c r="W9" s="82">
        <v>6000</v>
      </c>
      <c r="X9" s="74">
        <f t="shared" si="14"/>
        <v>16644</v>
      </c>
      <c r="Y9" s="74">
        <v>5000</v>
      </c>
      <c r="Z9" s="2"/>
      <c r="AA9" s="2">
        <v>30000</v>
      </c>
      <c r="AB9" s="17">
        <f t="shared" si="4"/>
        <v>57644</v>
      </c>
      <c r="AC9" s="87">
        <v>90000</v>
      </c>
      <c r="AD9" s="29">
        <v>5000</v>
      </c>
      <c r="AE9" s="74">
        <v>100000</v>
      </c>
      <c r="AF9" s="74">
        <v>180000</v>
      </c>
      <c r="AG9" s="74">
        <v>12000</v>
      </c>
      <c r="AH9" s="74">
        <v>15000</v>
      </c>
      <c r="AI9" s="74">
        <v>2000</v>
      </c>
      <c r="AJ9" s="17">
        <f t="shared" si="5"/>
        <v>309000</v>
      </c>
      <c r="AK9" s="95">
        <f t="shared" si="6"/>
        <v>1549940</v>
      </c>
      <c r="AL9" s="98">
        <f t="shared" si="7"/>
        <v>0</v>
      </c>
      <c r="AM9" s="44">
        <f t="shared" si="8"/>
        <v>1549940</v>
      </c>
    </row>
    <row r="10" spans="1:39" ht="15.75" customHeight="1">
      <c r="A10" s="104" t="s">
        <v>31</v>
      </c>
      <c r="B10" s="104"/>
      <c r="C10" s="75">
        <f>1100*12</f>
        <v>13200</v>
      </c>
      <c r="D10" s="73">
        <f>500*12</f>
        <v>6000</v>
      </c>
      <c r="E10" s="17">
        <f t="shared" si="0"/>
        <v>19200</v>
      </c>
      <c r="F10" s="23">
        <v>20000</v>
      </c>
      <c r="G10" s="5"/>
      <c r="H10" s="92"/>
      <c r="I10" s="78">
        <v>500000</v>
      </c>
      <c r="J10" s="78">
        <f t="shared" si="9"/>
        <v>151000</v>
      </c>
      <c r="K10" s="5"/>
      <c r="L10" s="81">
        <f>22000*12</f>
        <v>264000</v>
      </c>
      <c r="M10" s="81">
        <f>1000*12</f>
        <v>12000</v>
      </c>
      <c r="N10" s="5"/>
      <c r="O10" s="81">
        <f>1000*12</f>
        <v>12000</v>
      </c>
      <c r="P10" s="20">
        <f t="shared" si="1"/>
        <v>939000</v>
      </c>
      <c r="Q10" s="9"/>
      <c r="R10" s="84"/>
      <c r="S10" s="82">
        <f t="shared" si="12"/>
        <v>10716</v>
      </c>
      <c r="T10" s="82">
        <f t="shared" si="13"/>
        <v>22800</v>
      </c>
      <c r="U10" s="79">
        <v>2000</v>
      </c>
      <c r="V10" s="21">
        <f t="shared" si="3"/>
        <v>35516</v>
      </c>
      <c r="W10" s="81">
        <v>5000</v>
      </c>
      <c r="X10" s="74">
        <f t="shared" si="14"/>
        <v>16644</v>
      </c>
      <c r="Y10" s="73">
        <v>6000</v>
      </c>
      <c r="Z10" s="4"/>
      <c r="AA10" s="4">
        <v>20000</v>
      </c>
      <c r="AB10" s="17">
        <f t="shared" si="4"/>
        <v>47644</v>
      </c>
      <c r="AC10" s="86">
        <v>45000</v>
      </c>
      <c r="AD10" s="29">
        <v>5000</v>
      </c>
      <c r="AE10" s="74">
        <v>102000</v>
      </c>
      <c r="AF10" s="73">
        <v>0</v>
      </c>
      <c r="AG10" s="73">
        <v>32000</v>
      </c>
      <c r="AH10" s="73"/>
      <c r="AI10" s="73">
        <v>2800</v>
      </c>
      <c r="AJ10" s="17">
        <f t="shared" si="5"/>
        <v>136800</v>
      </c>
      <c r="AK10" s="95">
        <f t="shared" si="6"/>
        <v>1248160</v>
      </c>
      <c r="AL10" s="98">
        <f t="shared" si="7"/>
        <v>0</v>
      </c>
      <c r="AM10" s="44">
        <f t="shared" si="8"/>
        <v>1248160</v>
      </c>
    </row>
    <row r="11" spans="1:39" ht="15.75" customHeight="1">
      <c r="A11" s="101" t="s">
        <v>32</v>
      </c>
      <c r="B11" s="101"/>
      <c r="C11" s="76">
        <f>508*12+20</f>
        <v>6116</v>
      </c>
      <c r="D11" s="74"/>
      <c r="E11" s="17">
        <f t="shared" si="0"/>
        <v>6116</v>
      </c>
      <c r="F11" s="24"/>
      <c r="G11" s="3"/>
      <c r="H11" s="90"/>
      <c r="I11" s="79">
        <v>500000</v>
      </c>
      <c r="J11" s="78">
        <f t="shared" si="9"/>
        <v>151000</v>
      </c>
      <c r="K11" s="3"/>
      <c r="L11" s="82">
        <f>34000*12</f>
        <v>408000</v>
      </c>
      <c r="M11" s="82">
        <f>2100*12</f>
        <v>25200</v>
      </c>
      <c r="N11" s="3"/>
      <c r="O11" s="82">
        <f>1000*12</f>
        <v>12000</v>
      </c>
      <c r="P11" s="20">
        <f t="shared" si="1"/>
        <v>1096200</v>
      </c>
      <c r="Q11" s="10"/>
      <c r="R11" s="85"/>
      <c r="S11" s="82">
        <f t="shared" si="12"/>
        <v>10716</v>
      </c>
      <c r="T11" s="82">
        <f t="shared" si="13"/>
        <v>22800</v>
      </c>
      <c r="U11" s="79">
        <v>2000</v>
      </c>
      <c r="V11" s="21">
        <f t="shared" si="3"/>
        <v>35516</v>
      </c>
      <c r="W11" s="82"/>
      <c r="X11" s="74">
        <f t="shared" si="14"/>
        <v>16644</v>
      </c>
      <c r="Y11" s="74">
        <v>6000</v>
      </c>
      <c r="Z11" s="2"/>
      <c r="AA11" s="2">
        <v>35000</v>
      </c>
      <c r="AB11" s="17">
        <f t="shared" si="4"/>
        <v>57644</v>
      </c>
      <c r="AC11" s="87">
        <v>35000</v>
      </c>
      <c r="AD11" s="29">
        <v>5000</v>
      </c>
      <c r="AE11" s="74">
        <v>100000</v>
      </c>
      <c r="AF11" s="74"/>
      <c r="AG11" s="74">
        <v>26000</v>
      </c>
      <c r="AH11" s="74"/>
      <c r="AI11" s="74">
        <v>2000</v>
      </c>
      <c r="AJ11" s="17">
        <f t="shared" si="5"/>
        <v>128000</v>
      </c>
      <c r="AK11" s="95">
        <f t="shared" si="6"/>
        <v>1363476</v>
      </c>
      <c r="AL11" s="98">
        <f t="shared" si="7"/>
        <v>0</v>
      </c>
      <c r="AM11" s="44">
        <f t="shared" si="8"/>
        <v>1363476</v>
      </c>
    </row>
    <row r="12" spans="1:39" ht="20.25" customHeight="1">
      <c r="A12" s="101" t="s">
        <v>54</v>
      </c>
      <c r="B12" s="101"/>
      <c r="C12" s="76">
        <f>1020*12</f>
        <v>12240</v>
      </c>
      <c r="D12" s="74"/>
      <c r="E12" s="17">
        <f t="shared" si="0"/>
        <v>12240</v>
      </c>
      <c r="F12" s="24"/>
      <c r="G12" s="3"/>
      <c r="H12" s="90"/>
      <c r="I12" s="79">
        <v>370000</v>
      </c>
      <c r="J12" s="78">
        <f t="shared" si="9"/>
        <v>111740</v>
      </c>
      <c r="K12" s="3"/>
      <c r="L12" s="82">
        <f>17000*12</f>
        <v>204000</v>
      </c>
      <c r="M12" s="82">
        <f>1500*12</f>
        <v>18000</v>
      </c>
      <c r="N12" s="3"/>
      <c r="O12" s="82">
        <f>1000*12</f>
        <v>12000</v>
      </c>
      <c r="P12" s="20">
        <f t="shared" si="1"/>
        <v>715740</v>
      </c>
      <c r="Q12" s="10"/>
      <c r="R12" s="85"/>
      <c r="S12" s="82">
        <f t="shared" si="12"/>
        <v>10716</v>
      </c>
      <c r="T12" s="82">
        <f t="shared" si="13"/>
        <v>22800</v>
      </c>
      <c r="U12" s="79">
        <v>2000</v>
      </c>
      <c r="V12" s="21">
        <f t="shared" si="3"/>
        <v>35516</v>
      </c>
      <c r="W12" s="82"/>
      <c r="X12" s="74">
        <f t="shared" si="14"/>
        <v>16644</v>
      </c>
      <c r="Y12" s="74">
        <v>6000</v>
      </c>
      <c r="Z12" s="2"/>
      <c r="AA12" s="2">
        <v>20000</v>
      </c>
      <c r="AB12" s="17">
        <f t="shared" si="4"/>
        <v>42644</v>
      </c>
      <c r="AC12" s="87">
        <v>30000</v>
      </c>
      <c r="AD12" s="29">
        <v>5000</v>
      </c>
      <c r="AE12" s="74">
        <v>200000</v>
      </c>
      <c r="AF12" s="74"/>
      <c r="AG12" s="74">
        <v>16000</v>
      </c>
      <c r="AH12" s="74"/>
      <c r="AI12" s="74">
        <v>2000</v>
      </c>
      <c r="AJ12" s="17">
        <f t="shared" si="5"/>
        <v>218000</v>
      </c>
      <c r="AK12" s="95">
        <f t="shared" si="6"/>
        <v>1059140</v>
      </c>
      <c r="AL12" s="98">
        <f t="shared" si="7"/>
        <v>0</v>
      </c>
      <c r="AM12" s="44">
        <f t="shared" si="8"/>
        <v>1059140</v>
      </c>
    </row>
    <row r="13" spans="1:39" ht="15.75" customHeight="1">
      <c r="A13" s="101" t="s">
        <v>33</v>
      </c>
      <c r="B13" s="101"/>
      <c r="C13" s="76">
        <f>1800*12</f>
        <v>21600</v>
      </c>
      <c r="D13" s="74">
        <v>12000</v>
      </c>
      <c r="E13" s="17">
        <f t="shared" si="0"/>
        <v>33600</v>
      </c>
      <c r="F13" s="24"/>
      <c r="G13" s="3">
        <f>13950*2*12</f>
        <v>334800</v>
      </c>
      <c r="H13" s="90">
        <f>G13*30.2%-74</f>
        <v>101035.59999999999</v>
      </c>
      <c r="I13" s="79"/>
      <c r="J13" s="78">
        <f t="shared" si="9"/>
        <v>0</v>
      </c>
      <c r="K13" s="3">
        <v>1000000</v>
      </c>
      <c r="L13" s="82">
        <f>14000*12</f>
        <v>168000</v>
      </c>
      <c r="M13" s="82">
        <f>1200*12</f>
        <v>14400</v>
      </c>
      <c r="N13" s="3"/>
      <c r="O13" s="82"/>
      <c r="P13" s="20">
        <f t="shared" si="1"/>
        <v>1182400</v>
      </c>
      <c r="Q13" s="10"/>
      <c r="R13" s="85">
        <v>4000</v>
      </c>
      <c r="S13" s="82">
        <f t="shared" si="12"/>
        <v>10716</v>
      </c>
      <c r="T13" s="82">
        <f t="shared" si="13"/>
        <v>22800</v>
      </c>
      <c r="U13" s="79">
        <v>2000</v>
      </c>
      <c r="V13" s="21">
        <f t="shared" si="3"/>
        <v>39516</v>
      </c>
      <c r="W13" s="82">
        <v>10000</v>
      </c>
      <c r="X13" s="74">
        <f t="shared" si="14"/>
        <v>16644</v>
      </c>
      <c r="Y13" s="74">
        <v>6000</v>
      </c>
      <c r="Z13" s="2"/>
      <c r="AA13" s="2">
        <v>25000</v>
      </c>
      <c r="AB13" s="17">
        <f t="shared" si="4"/>
        <v>57644</v>
      </c>
      <c r="AC13" s="87">
        <v>109000</v>
      </c>
      <c r="AD13" s="29">
        <v>5000</v>
      </c>
      <c r="AE13" s="74">
        <v>100000</v>
      </c>
      <c r="AF13" s="74">
        <v>450000</v>
      </c>
      <c r="AG13" s="74">
        <v>31000</v>
      </c>
      <c r="AH13" s="74">
        <v>50000</v>
      </c>
      <c r="AI13" s="74">
        <v>2000</v>
      </c>
      <c r="AJ13" s="17">
        <f t="shared" si="5"/>
        <v>633000</v>
      </c>
      <c r="AK13" s="95">
        <f t="shared" si="6"/>
        <v>2060160</v>
      </c>
      <c r="AL13" s="98">
        <f t="shared" si="7"/>
        <v>435835.6</v>
      </c>
      <c r="AM13" s="44">
        <f t="shared" si="8"/>
        <v>2495995.6</v>
      </c>
    </row>
    <row r="14" spans="1:39" ht="14.25" customHeight="1">
      <c r="A14" s="102" t="s">
        <v>34</v>
      </c>
      <c r="B14" s="102"/>
      <c r="C14" s="76">
        <v>6000</v>
      </c>
      <c r="D14" s="74">
        <f>500*12</f>
        <v>6000</v>
      </c>
      <c r="E14" s="17">
        <f t="shared" si="0"/>
        <v>12000</v>
      </c>
      <c r="F14" s="24"/>
      <c r="G14" s="3">
        <f>13950*12</f>
        <v>167400</v>
      </c>
      <c r="H14" s="90">
        <f>G14*30.2%-10</f>
        <v>50544.799999999996</v>
      </c>
      <c r="I14" s="79">
        <v>500000</v>
      </c>
      <c r="J14" s="78">
        <f t="shared" si="9"/>
        <v>151000</v>
      </c>
      <c r="K14" s="3"/>
      <c r="L14" s="82">
        <f>21000*12</f>
        <v>252000</v>
      </c>
      <c r="M14" s="82">
        <f>1000*12</f>
        <v>12000</v>
      </c>
      <c r="N14" s="3"/>
      <c r="O14" s="82">
        <f>1000*12</f>
        <v>12000</v>
      </c>
      <c r="P14" s="20">
        <f t="shared" si="1"/>
        <v>927000</v>
      </c>
      <c r="Q14" s="10"/>
      <c r="R14" s="85">
        <v>2000</v>
      </c>
      <c r="S14" s="82">
        <f t="shared" si="12"/>
        <v>10716</v>
      </c>
      <c r="T14" s="82">
        <f t="shared" si="13"/>
        <v>22800</v>
      </c>
      <c r="U14" s="79">
        <v>2000</v>
      </c>
      <c r="V14" s="21">
        <f t="shared" si="3"/>
        <v>37516</v>
      </c>
      <c r="W14" s="82">
        <v>5000</v>
      </c>
      <c r="X14" s="74">
        <f t="shared" si="14"/>
        <v>16644</v>
      </c>
      <c r="Y14" s="74">
        <v>4500</v>
      </c>
      <c r="Z14" s="2"/>
      <c r="AA14" s="2">
        <v>20000</v>
      </c>
      <c r="AB14" s="17">
        <f>W14+X14+Y14+Z14+AA14</f>
        <v>46144</v>
      </c>
      <c r="AC14" s="87">
        <v>1000</v>
      </c>
      <c r="AD14" s="29">
        <v>5000</v>
      </c>
      <c r="AE14" s="74">
        <v>100000</v>
      </c>
      <c r="AF14" s="74">
        <v>450000</v>
      </c>
      <c r="AG14" s="74">
        <v>19000</v>
      </c>
      <c r="AH14" s="74">
        <v>50000</v>
      </c>
      <c r="AI14" s="74">
        <v>2000</v>
      </c>
      <c r="AJ14" s="17">
        <f t="shared" si="5"/>
        <v>621000</v>
      </c>
      <c r="AK14" s="95">
        <f t="shared" si="6"/>
        <v>1649660</v>
      </c>
      <c r="AL14" s="98">
        <f t="shared" si="7"/>
        <v>217944.8</v>
      </c>
      <c r="AM14" s="44">
        <f t="shared" si="8"/>
        <v>1867604.8</v>
      </c>
    </row>
    <row r="15" spans="1:39" ht="25.5" customHeight="1">
      <c r="A15" s="102" t="s">
        <v>35</v>
      </c>
      <c r="B15" s="102"/>
      <c r="C15" s="76">
        <v>6000</v>
      </c>
      <c r="D15" s="74"/>
      <c r="E15" s="17">
        <f t="shared" si="0"/>
        <v>6000</v>
      </c>
      <c r="F15" s="24"/>
      <c r="G15" s="3"/>
      <c r="H15" s="90"/>
      <c r="I15" s="79">
        <v>500000</v>
      </c>
      <c r="J15" s="78">
        <f t="shared" si="9"/>
        <v>151000</v>
      </c>
      <c r="K15" s="3"/>
      <c r="L15" s="82">
        <f>20000*12</f>
        <v>240000</v>
      </c>
      <c r="M15" s="82">
        <f>1000*12</f>
        <v>12000</v>
      </c>
      <c r="N15" s="3"/>
      <c r="O15" s="82">
        <f>1000*12</f>
        <v>12000</v>
      </c>
      <c r="P15" s="20">
        <f t="shared" si="1"/>
        <v>915000</v>
      </c>
      <c r="Q15" s="10"/>
      <c r="R15" s="85"/>
      <c r="S15" s="82">
        <f>893*12-40</f>
        <v>10676</v>
      </c>
      <c r="T15" s="82">
        <f t="shared" si="13"/>
        <v>22800</v>
      </c>
      <c r="U15" s="79"/>
      <c r="V15" s="21">
        <f t="shared" si="3"/>
        <v>33476</v>
      </c>
      <c r="W15" s="82"/>
      <c r="X15" s="74">
        <f>1387*12+40</f>
        <v>16684</v>
      </c>
      <c r="Y15" s="74">
        <v>4000</v>
      </c>
      <c r="Z15" s="2"/>
      <c r="AA15" s="2">
        <v>15000</v>
      </c>
      <c r="AB15" s="17">
        <f>W15+X15+Y15+Z15+AA15</f>
        <v>35684</v>
      </c>
      <c r="AC15" s="87"/>
      <c r="AD15" s="29"/>
      <c r="AE15" s="74"/>
      <c r="AF15" s="74"/>
      <c r="AG15" s="74">
        <v>6000</v>
      </c>
      <c r="AH15" s="74"/>
      <c r="AI15" s="74">
        <v>1000</v>
      </c>
      <c r="AJ15" s="17">
        <f t="shared" si="5"/>
        <v>7000</v>
      </c>
      <c r="AK15" s="95">
        <f t="shared" si="6"/>
        <v>997160</v>
      </c>
      <c r="AL15" s="98">
        <f t="shared" si="7"/>
        <v>0</v>
      </c>
      <c r="AM15" s="44">
        <f t="shared" si="8"/>
        <v>997160</v>
      </c>
    </row>
    <row r="16" spans="1:39" ht="20.25" customHeight="1">
      <c r="A16" s="103" t="s">
        <v>36</v>
      </c>
      <c r="B16" s="103"/>
      <c r="C16" s="76">
        <f>C14+C15</f>
        <v>12000</v>
      </c>
      <c r="D16" s="74">
        <f>D14+D15</f>
        <v>6000</v>
      </c>
      <c r="E16" s="17">
        <f t="shared" si="0"/>
        <v>18000</v>
      </c>
      <c r="F16" s="24"/>
      <c r="G16" s="2">
        <f>G14+G15</f>
        <v>167400</v>
      </c>
      <c r="H16" s="91">
        <f>H14+H15</f>
        <v>50544.799999999996</v>
      </c>
      <c r="I16" s="80">
        <f>I14+I15</f>
        <v>1000000</v>
      </c>
      <c r="J16" s="78">
        <f t="shared" si="9"/>
        <v>302000</v>
      </c>
      <c r="K16" s="2"/>
      <c r="L16" s="74">
        <f>L14+L15</f>
        <v>492000</v>
      </c>
      <c r="M16" s="74">
        <f>M14+M15</f>
        <v>24000</v>
      </c>
      <c r="N16" s="2"/>
      <c r="O16" s="74">
        <f>O14+O15</f>
        <v>24000</v>
      </c>
      <c r="P16" s="20">
        <f t="shared" si="1"/>
        <v>1842000</v>
      </c>
      <c r="Q16" s="7"/>
      <c r="R16" s="76">
        <f t="shared" ref="R16:X16" si="15">R14+R15</f>
        <v>2000</v>
      </c>
      <c r="S16" s="74">
        <f t="shared" si="15"/>
        <v>21392</v>
      </c>
      <c r="T16" s="74">
        <f t="shared" si="15"/>
        <v>45600</v>
      </c>
      <c r="U16" s="80">
        <f t="shared" si="15"/>
        <v>2000</v>
      </c>
      <c r="V16" s="21">
        <f t="shared" si="15"/>
        <v>70992</v>
      </c>
      <c r="W16" s="74">
        <f t="shared" si="15"/>
        <v>5000</v>
      </c>
      <c r="X16" s="74">
        <f t="shared" si="15"/>
        <v>33328</v>
      </c>
      <c r="Y16" s="74">
        <f>Y14+Y15</f>
        <v>8500</v>
      </c>
      <c r="Z16" s="2"/>
      <c r="AA16" s="2">
        <f>AA14+AA15</f>
        <v>35000</v>
      </c>
      <c r="AB16" s="17">
        <f>AB14+AB15</f>
        <v>81828</v>
      </c>
      <c r="AC16" s="87">
        <f>AC14+AC15</f>
        <v>1000</v>
      </c>
      <c r="AD16" s="29">
        <f t="shared" ref="AD16:AJ16" si="16">AD14+AD15</f>
        <v>5000</v>
      </c>
      <c r="AE16" s="74">
        <f>AE14+AE15</f>
        <v>100000</v>
      </c>
      <c r="AF16" s="74">
        <f t="shared" si="16"/>
        <v>450000</v>
      </c>
      <c r="AG16" s="74">
        <f t="shared" si="16"/>
        <v>25000</v>
      </c>
      <c r="AH16" s="74">
        <f t="shared" si="16"/>
        <v>50000</v>
      </c>
      <c r="AI16" s="74">
        <f t="shared" si="16"/>
        <v>3000</v>
      </c>
      <c r="AJ16" s="17">
        <f t="shared" si="16"/>
        <v>628000</v>
      </c>
      <c r="AK16" s="95">
        <f>AK14+AK15</f>
        <v>2646820</v>
      </c>
      <c r="AL16" s="98">
        <f t="shared" si="7"/>
        <v>217944.8</v>
      </c>
      <c r="AM16" s="44">
        <f t="shared" si="8"/>
        <v>2864764.8</v>
      </c>
    </row>
    <row r="17" spans="1:39">
      <c r="A17" s="102" t="s">
        <v>37</v>
      </c>
      <c r="B17" s="102"/>
      <c r="C17" s="76">
        <f>1015*12</f>
        <v>12180</v>
      </c>
      <c r="D17" s="74">
        <v>12000</v>
      </c>
      <c r="E17" s="17">
        <f t="shared" si="0"/>
        <v>24180</v>
      </c>
      <c r="F17" s="24"/>
      <c r="G17" s="3">
        <f>13950*3*12</f>
        <v>502200</v>
      </c>
      <c r="H17" s="90">
        <f>G17*30.2%+0.4</f>
        <v>151664.79999999999</v>
      </c>
      <c r="I17" s="79"/>
      <c r="J17" s="78">
        <f t="shared" si="9"/>
        <v>0</v>
      </c>
      <c r="K17" s="3">
        <v>1800000</v>
      </c>
      <c r="L17" s="82">
        <f>20000*12</f>
        <v>240000</v>
      </c>
      <c r="M17" s="82">
        <f>1200*12</f>
        <v>14400</v>
      </c>
      <c r="N17" s="3"/>
      <c r="O17" s="82">
        <f>5000*12</f>
        <v>60000</v>
      </c>
      <c r="P17" s="20">
        <f t="shared" si="1"/>
        <v>2114400</v>
      </c>
      <c r="Q17" s="10"/>
      <c r="R17" s="85">
        <v>4000</v>
      </c>
      <c r="S17" s="82">
        <f>893*12</f>
        <v>10716</v>
      </c>
      <c r="T17" s="82">
        <f>1900*12</f>
        <v>22800</v>
      </c>
      <c r="U17" s="79">
        <v>2000</v>
      </c>
      <c r="V17" s="21">
        <f t="shared" si="3"/>
        <v>39516</v>
      </c>
      <c r="W17" s="82">
        <v>12000</v>
      </c>
      <c r="X17" s="74">
        <f>1387*12</f>
        <v>16644</v>
      </c>
      <c r="Y17" s="74">
        <v>6000</v>
      </c>
      <c r="Z17" s="2">
        <v>15000</v>
      </c>
      <c r="AA17" s="2">
        <v>40000</v>
      </c>
      <c r="AB17" s="17">
        <f>W17+X17+Y17+Z17+AA17</f>
        <v>89644</v>
      </c>
      <c r="AC17" s="87">
        <v>105000</v>
      </c>
      <c r="AD17" s="29">
        <v>5000</v>
      </c>
      <c r="AE17" s="74"/>
      <c r="AF17" s="74">
        <v>300000</v>
      </c>
      <c r="AG17" s="74">
        <v>44000</v>
      </c>
      <c r="AH17" s="74">
        <v>50000</v>
      </c>
      <c r="AI17" s="74">
        <v>2000</v>
      </c>
      <c r="AJ17" s="17">
        <f t="shared" si="5"/>
        <v>396000</v>
      </c>
      <c r="AK17" s="95">
        <f t="shared" si="6"/>
        <v>2773740</v>
      </c>
      <c r="AL17" s="98">
        <f t="shared" si="7"/>
        <v>653864.80000000005</v>
      </c>
      <c r="AM17" s="44">
        <f t="shared" si="8"/>
        <v>3427604.8</v>
      </c>
    </row>
    <row r="18" spans="1:39" ht="24" customHeight="1">
      <c r="A18" s="102" t="s">
        <v>38</v>
      </c>
      <c r="B18" s="102"/>
      <c r="C18" s="76"/>
      <c r="D18" s="74"/>
      <c r="E18" s="17">
        <f t="shared" si="0"/>
        <v>0</v>
      </c>
      <c r="F18" s="24"/>
      <c r="G18" s="3"/>
      <c r="H18" s="90"/>
      <c r="I18" s="79">
        <v>120000</v>
      </c>
      <c r="J18" s="78">
        <f t="shared" si="9"/>
        <v>36240</v>
      </c>
      <c r="K18" s="3"/>
      <c r="L18" s="82"/>
      <c r="M18" s="82"/>
      <c r="N18" s="3"/>
      <c r="O18" s="82"/>
      <c r="P18" s="20">
        <f t="shared" si="1"/>
        <v>156240</v>
      </c>
      <c r="Q18" s="10"/>
      <c r="R18" s="85"/>
      <c r="S18" s="82"/>
      <c r="T18" s="82"/>
      <c r="U18" s="79"/>
      <c r="V18" s="21">
        <f t="shared" si="3"/>
        <v>0</v>
      </c>
      <c r="W18" s="82"/>
      <c r="X18" s="74"/>
      <c r="Y18" s="74"/>
      <c r="Z18" s="2"/>
      <c r="AA18" s="2"/>
      <c r="AB18" s="17">
        <f>W18+X18+Y18+Z18+AA18</f>
        <v>0</v>
      </c>
      <c r="AC18" s="87"/>
      <c r="AD18" s="29"/>
      <c r="AE18" s="74"/>
      <c r="AF18" s="74"/>
      <c r="AG18" s="74"/>
      <c r="AH18" s="74"/>
      <c r="AI18" s="74"/>
      <c r="AJ18" s="17">
        <f t="shared" si="5"/>
        <v>0</v>
      </c>
      <c r="AK18" s="95">
        <f t="shared" si="6"/>
        <v>156240</v>
      </c>
      <c r="AL18" s="98">
        <f t="shared" si="7"/>
        <v>0</v>
      </c>
      <c r="AM18" s="44">
        <f t="shared" si="8"/>
        <v>156240</v>
      </c>
    </row>
    <row r="19" spans="1:39" ht="15" customHeight="1">
      <c r="A19" s="103" t="s">
        <v>39</v>
      </c>
      <c r="B19" s="103"/>
      <c r="C19" s="76">
        <f>C17+C18</f>
        <v>12180</v>
      </c>
      <c r="D19" s="74">
        <f>D17+D18</f>
        <v>12000</v>
      </c>
      <c r="E19" s="17">
        <f t="shared" si="0"/>
        <v>24180</v>
      </c>
      <c r="F19" s="24"/>
      <c r="G19" s="2">
        <f>G17</f>
        <v>502200</v>
      </c>
      <c r="H19" s="91">
        <f>H17</f>
        <v>151664.79999999999</v>
      </c>
      <c r="I19" s="80">
        <f>I17+I18</f>
        <v>120000</v>
      </c>
      <c r="J19" s="78">
        <f t="shared" si="9"/>
        <v>36240</v>
      </c>
      <c r="K19" s="2">
        <f>K17</f>
        <v>1800000</v>
      </c>
      <c r="L19" s="74">
        <f>L17+L18</f>
        <v>240000</v>
      </c>
      <c r="M19" s="74">
        <f>M17+M18</f>
        <v>14400</v>
      </c>
      <c r="N19" s="2"/>
      <c r="O19" s="74">
        <f>O17+O18</f>
        <v>60000</v>
      </c>
      <c r="P19" s="20">
        <f t="shared" si="1"/>
        <v>2270640</v>
      </c>
      <c r="Q19" s="7"/>
      <c r="R19" s="76">
        <f t="shared" ref="R19:AC19" si="17">R17+R18</f>
        <v>4000</v>
      </c>
      <c r="S19" s="74">
        <f t="shared" si="17"/>
        <v>10716</v>
      </c>
      <c r="T19" s="74">
        <f t="shared" si="17"/>
        <v>22800</v>
      </c>
      <c r="U19" s="80">
        <f t="shared" si="17"/>
        <v>2000</v>
      </c>
      <c r="V19" s="21">
        <f t="shared" si="17"/>
        <v>39516</v>
      </c>
      <c r="W19" s="74">
        <f t="shared" si="17"/>
        <v>12000</v>
      </c>
      <c r="X19" s="74">
        <f t="shared" si="17"/>
        <v>16644</v>
      </c>
      <c r="Y19" s="74">
        <f t="shared" si="17"/>
        <v>6000</v>
      </c>
      <c r="Z19" s="2">
        <f t="shared" si="17"/>
        <v>15000</v>
      </c>
      <c r="AA19" s="2">
        <f t="shared" si="17"/>
        <v>40000</v>
      </c>
      <c r="AB19" s="17">
        <f>AB17+AB18</f>
        <v>89644</v>
      </c>
      <c r="AC19" s="87">
        <f t="shared" si="17"/>
        <v>105000</v>
      </c>
      <c r="AD19" s="29">
        <f>SUM(AD17:AD18)</f>
        <v>5000</v>
      </c>
      <c r="AE19" s="74"/>
      <c r="AF19" s="74">
        <f t="shared" ref="AF19:AJ19" si="18">AF17+AF18</f>
        <v>300000</v>
      </c>
      <c r="AG19" s="74">
        <f t="shared" si="18"/>
        <v>44000</v>
      </c>
      <c r="AH19" s="74">
        <f t="shared" si="18"/>
        <v>50000</v>
      </c>
      <c r="AI19" s="74">
        <f t="shared" si="18"/>
        <v>2000</v>
      </c>
      <c r="AJ19" s="17">
        <f t="shared" si="18"/>
        <v>396000</v>
      </c>
      <c r="AK19" s="95">
        <f>AK17+AK18</f>
        <v>2929980</v>
      </c>
      <c r="AL19" s="98">
        <f t="shared" si="7"/>
        <v>653864.80000000005</v>
      </c>
      <c r="AM19" s="44">
        <f t="shared" si="8"/>
        <v>3583844.8</v>
      </c>
    </row>
    <row r="20" spans="1:39" ht="16.5" customHeight="1">
      <c r="A20" s="102" t="s">
        <v>40</v>
      </c>
      <c r="B20" s="102"/>
      <c r="C20" s="76">
        <f>421*12</f>
        <v>5052</v>
      </c>
      <c r="D20" s="74">
        <f>500*12</f>
        <v>6000</v>
      </c>
      <c r="E20" s="17">
        <f t="shared" si="0"/>
        <v>11052</v>
      </c>
      <c r="F20" s="24"/>
      <c r="G20" s="3"/>
      <c r="H20" s="90"/>
      <c r="I20" s="79"/>
      <c r="J20" s="78">
        <f t="shared" si="9"/>
        <v>0</v>
      </c>
      <c r="K20" s="3">
        <v>1300000</v>
      </c>
      <c r="L20" s="82">
        <f>17000*12</f>
        <v>204000</v>
      </c>
      <c r="M20" s="82">
        <f>1600*12</f>
        <v>19200</v>
      </c>
      <c r="N20" s="3"/>
      <c r="O20" s="82">
        <f>1000*12</f>
        <v>12000</v>
      </c>
      <c r="P20" s="20">
        <f t="shared" si="1"/>
        <v>1535200</v>
      </c>
      <c r="Q20" s="10"/>
      <c r="R20" s="85">
        <v>30000</v>
      </c>
      <c r="S20" s="82">
        <f>893*12</f>
        <v>10716</v>
      </c>
      <c r="T20" s="82">
        <f>1900*12</f>
        <v>22800</v>
      </c>
      <c r="U20" s="79">
        <v>2000</v>
      </c>
      <c r="V20" s="21">
        <f t="shared" si="3"/>
        <v>65516</v>
      </c>
      <c r="W20" s="82">
        <v>10000</v>
      </c>
      <c r="X20" s="74">
        <f>1387*12</f>
        <v>16644</v>
      </c>
      <c r="Y20" s="74">
        <v>1000</v>
      </c>
      <c r="Z20" s="2">
        <v>10000</v>
      </c>
      <c r="AA20" s="2">
        <v>100000</v>
      </c>
      <c r="AB20" s="17">
        <f>W20+X20+Y20+Z20+AA20</f>
        <v>137644</v>
      </c>
      <c r="AC20" s="87">
        <v>250000</v>
      </c>
      <c r="AD20" s="29">
        <v>50000</v>
      </c>
      <c r="AE20" s="74"/>
      <c r="AF20" s="74">
        <v>180000</v>
      </c>
      <c r="AG20" s="74">
        <v>70000</v>
      </c>
      <c r="AH20" s="74">
        <v>50000</v>
      </c>
      <c r="AI20" s="74">
        <v>2000</v>
      </c>
      <c r="AJ20" s="17">
        <f t="shared" si="5"/>
        <v>302000</v>
      </c>
      <c r="AK20" s="95">
        <f t="shared" si="6"/>
        <v>2351412</v>
      </c>
      <c r="AL20" s="98">
        <f t="shared" si="7"/>
        <v>0</v>
      </c>
      <c r="AM20" s="44">
        <f t="shared" si="8"/>
        <v>2351412</v>
      </c>
    </row>
    <row r="21" spans="1:39" ht="24" customHeight="1">
      <c r="A21" s="102" t="s">
        <v>41</v>
      </c>
      <c r="B21" s="102"/>
      <c r="C21" s="76">
        <f>430*12</f>
        <v>5160</v>
      </c>
      <c r="D21" s="74"/>
      <c r="E21" s="17">
        <f t="shared" si="0"/>
        <v>5160</v>
      </c>
      <c r="F21" s="24"/>
      <c r="G21" s="3"/>
      <c r="H21" s="90"/>
      <c r="I21" s="79">
        <v>370000</v>
      </c>
      <c r="J21" s="78">
        <f t="shared" si="9"/>
        <v>111740</v>
      </c>
      <c r="K21" s="3"/>
      <c r="L21" s="82">
        <f>15400*12</f>
        <v>184800</v>
      </c>
      <c r="M21" s="82">
        <f>600*12</f>
        <v>7200</v>
      </c>
      <c r="N21" s="3"/>
      <c r="O21" s="82">
        <v>0</v>
      </c>
      <c r="P21" s="20">
        <f t="shared" si="1"/>
        <v>673740</v>
      </c>
      <c r="Q21" s="10"/>
      <c r="R21" s="85"/>
      <c r="S21" s="82">
        <f>893*12</f>
        <v>10716</v>
      </c>
      <c r="T21" s="82">
        <f>1900*12</f>
        <v>22800</v>
      </c>
      <c r="U21" s="79">
        <v>2000</v>
      </c>
      <c r="V21" s="21">
        <f t="shared" si="3"/>
        <v>35516</v>
      </c>
      <c r="W21" s="82"/>
      <c r="X21" s="74">
        <f>1387*12</f>
        <v>16644</v>
      </c>
      <c r="Y21" s="74">
        <v>1000</v>
      </c>
      <c r="Z21" s="2"/>
      <c r="AA21" s="2"/>
      <c r="AB21" s="17">
        <f t="shared" si="4"/>
        <v>17644</v>
      </c>
      <c r="AC21" s="87"/>
      <c r="AD21" s="29"/>
      <c r="AE21" s="74">
        <v>100000</v>
      </c>
      <c r="AF21" s="74"/>
      <c r="AG21" s="74">
        <v>7000</v>
      </c>
      <c r="AH21" s="74"/>
      <c r="AI21" s="74">
        <v>1000</v>
      </c>
      <c r="AJ21" s="17">
        <f t="shared" si="5"/>
        <v>108000</v>
      </c>
      <c r="AK21" s="95">
        <f t="shared" si="6"/>
        <v>840060</v>
      </c>
      <c r="AL21" s="98">
        <f t="shared" si="7"/>
        <v>0</v>
      </c>
      <c r="AM21" s="44">
        <f t="shared" si="8"/>
        <v>840060</v>
      </c>
    </row>
    <row r="22" spans="1:39" ht="14.25" customHeight="1">
      <c r="A22" s="103" t="s">
        <v>42</v>
      </c>
      <c r="B22" s="103"/>
      <c r="C22" s="76">
        <f>C20+C21</f>
        <v>10212</v>
      </c>
      <c r="D22" s="74">
        <f>D20+D21</f>
        <v>6000</v>
      </c>
      <c r="E22" s="17">
        <f>E20+E21</f>
        <v>16212</v>
      </c>
      <c r="F22" s="24"/>
      <c r="G22" s="2"/>
      <c r="H22" s="91"/>
      <c r="I22" s="80">
        <f>I20+I21</f>
        <v>370000</v>
      </c>
      <c r="J22" s="78">
        <f t="shared" si="9"/>
        <v>111740</v>
      </c>
      <c r="K22" s="2">
        <f>K20+K21</f>
        <v>1300000</v>
      </c>
      <c r="L22" s="74">
        <f>L20+L21</f>
        <v>388800</v>
      </c>
      <c r="M22" s="74">
        <f>M20+M21</f>
        <v>26400</v>
      </c>
      <c r="N22" s="2"/>
      <c r="O22" s="74">
        <f>O20+O21</f>
        <v>12000</v>
      </c>
      <c r="P22" s="20">
        <f t="shared" si="1"/>
        <v>2208940</v>
      </c>
      <c r="Q22" s="7"/>
      <c r="R22" s="76">
        <f t="shared" ref="R22:AA22" si="19">R20+R21</f>
        <v>30000</v>
      </c>
      <c r="S22" s="74">
        <f t="shared" si="19"/>
        <v>21432</v>
      </c>
      <c r="T22" s="74">
        <f t="shared" si="19"/>
        <v>45600</v>
      </c>
      <c r="U22" s="80">
        <f t="shared" si="19"/>
        <v>4000</v>
      </c>
      <c r="V22" s="21">
        <f t="shared" si="19"/>
        <v>101032</v>
      </c>
      <c r="W22" s="74">
        <f t="shared" si="19"/>
        <v>10000</v>
      </c>
      <c r="X22" s="74">
        <f t="shared" si="19"/>
        <v>33288</v>
      </c>
      <c r="Y22" s="74">
        <f>Y20+Y21</f>
        <v>2000</v>
      </c>
      <c r="Z22" s="2">
        <f t="shared" si="19"/>
        <v>10000</v>
      </c>
      <c r="AA22" s="2">
        <f t="shared" si="19"/>
        <v>100000</v>
      </c>
      <c r="AB22" s="17">
        <f>AB20+AB21</f>
        <v>155288</v>
      </c>
      <c r="AC22" s="87">
        <f>AC20</f>
        <v>250000</v>
      </c>
      <c r="AD22" s="29">
        <f t="shared" ref="AD22:AJ22" si="20">AD20+AD21</f>
        <v>50000</v>
      </c>
      <c r="AE22" s="74">
        <f>AE20+AE21</f>
        <v>100000</v>
      </c>
      <c r="AF22" s="74">
        <f t="shared" si="20"/>
        <v>180000</v>
      </c>
      <c r="AG22" s="74">
        <f t="shared" si="20"/>
        <v>77000</v>
      </c>
      <c r="AH22" s="74">
        <f t="shared" si="20"/>
        <v>50000</v>
      </c>
      <c r="AI22" s="74">
        <f t="shared" si="20"/>
        <v>3000</v>
      </c>
      <c r="AJ22" s="17">
        <f t="shared" si="20"/>
        <v>410000</v>
      </c>
      <c r="AK22" s="95">
        <f>AK20+AK21</f>
        <v>3191472</v>
      </c>
      <c r="AL22" s="98">
        <f t="shared" si="7"/>
        <v>0</v>
      </c>
      <c r="AM22" s="44">
        <f t="shared" si="8"/>
        <v>3191472</v>
      </c>
    </row>
    <row r="23" spans="1:39" ht="12.75" customHeight="1">
      <c r="A23" s="105" t="s">
        <v>43</v>
      </c>
      <c r="B23" s="105"/>
      <c r="C23" s="74">
        <f>C2+C5+C6+C7+C8+C9+C10+C11+C12+C13+C16+C19+C22</f>
        <v>150500</v>
      </c>
      <c r="D23" s="74">
        <f>D2+D5+D6+D7+D8+D9+D10+D11+D12+D13+D16+D19+D22</f>
        <v>54000</v>
      </c>
      <c r="E23" s="74">
        <f t="shared" ref="E23:AK23" si="21">E2+E5+E6+E7+E8+E9+E10+E11+E12+E13+E16+E19+E22</f>
        <v>204500</v>
      </c>
      <c r="F23" s="74">
        <f t="shared" si="21"/>
        <v>20000</v>
      </c>
      <c r="G23" s="74">
        <f>G2+G5+G6+G7+G8+G9+G10+G11+G12+G13+G16+G19+G22</f>
        <v>1171800</v>
      </c>
      <c r="H23" s="93">
        <f t="shared" si="21"/>
        <v>353800</v>
      </c>
      <c r="I23" s="80">
        <f t="shared" si="21"/>
        <v>5857000</v>
      </c>
      <c r="J23" s="80">
        <f t="shared" si="21"/>
        <v>1768800</v>
      </c>
      <c r="K23" s="74">
        <f t="shared" si="21"/>
        <v>4100000</v>
      </c>
      <c r="L23" s="74">
        <f t="shared" si="21"/>
        <v>3898800</v>
      </c>
      <c r="M23" s="74">
        <f t="shared" si="21"/>
        <v>211800</v>
      </c>
      <c r="N23" s="74">
        <f t="shared" si="21"/>
        <v>0</v>
      </c>
      <c r="O23" s="74">
        <f t="shared" si="21"/>
        <v>228000</v>
      </c>
      <c r="P23" s="74">
        <f>P2+P5+P6+P7+P8+P9+P10+P11+P12+P13+P16+P19+P22</f>
        <v>16064400</v>
      </c>
      <c r="Q23" s="74">
        <f t="shared" ref="Q23:V23" si="22">Q2+Q5+Q6+Q7+Q8+Q9+Q10+Q11+Q12+Q13+Q16+Q19+Q22</f>
        <v>0</v>
      </c>
      <c r="R23" s="74">
        <f t="shared" si="22"/>
        <v>44000</v>
      </c>
      <c r="S23" s="74">
        <f t="shared" si="22"/>
        <v>160700</v>
      </c>
      <c r="T23" s="74">
        <f t="shared" si="22"/>
        <v>364800</v>
      </c>
      <c r="U23" s="74">
        <f t="shared" si="22"/>
        <v>28000</v>
      </c>
      <c r="V23" s="74">
        <f t="shared" si="22"/>
        <v>597500</v>
      </c>
      <c r="W23" s="74">
        <f>W2+W5+W6+W7+W8+W9+W10+W11+W12+W13+W16+W19+W22</f>
        <v>53000</v>
      </c>
      <c r="X23" s="74">
        <f>X2+X5+X6+X7+X8+X9+X10+X11+X12+X13+X16+X19+X22</f>
        <v>249700</v>
      </c>
      <c r="Y23" s="74">
        <f>Y2+Y5+Y6+Y7+Y8+Y9+Y10+Y11+Y12+Y13+Y16+Y19+Y22</f>
        <v>76500</v>
      </c>
      <c r="Z23" s="74">
        <f>Z19+Z22</f>
        <v>25000</v>
      </c>
      <c r="AA23" s="74">
        <f>AA2+AA5+AA6+AA7+AA8+AA9+AA10+AA11+AA12+AA13+AA16+AA19+AA22</f>
        <v>459000</v>
      </c>
      <c r="AB23" s="88">
        <f>AB2+AB5+AB6+AB7+AB8+AB9+AB10+AB11+AB12+AB13+AB16+AB19+AB22</f>
        <v>863200</v>
      </c>
      <c r="AC23" s="88">
        <f>AC2+AC5+AC6+AC7+AC8+AC9+AC10+AC11+AC12+AC13+AC16+AC19+AC22</f>
        <v>881000</v>
      </c>
      <c r="AD23" s="76">
        <f t="shared" si="21"/>
        <v>110000</v>
      </c>
      <c r="AE23" s="76">
        <f>AE2+AE5+AE6+AE7+AE8+AE9+AE10+AE11+AE12+AE13+AE16+AE19+AE22</f>
        <v>1282000</v>
      </c>
      <c r="AF23" s="76">
        <f t="shared" si="21"/>
        <v>1740000</v>
      </c>
      <c r="AG23" s="76">
        <f t="shared" si="21"/>
        <v>325800</v>
      </c>
      <c r="AH23" s="76">
        <f t="shared" si="21"/>
        <v>235000</v>
      </c>
      <c r="AI23" s="76">
        <f t="shared" si="21"/>
        <v>28800</v>
      </c>
      <c r="AJ23" s="76">
        <f t="shared" si="21"/>
        <v>3611600</v>
      </c>
      <c r="AK23" s="96">
        <f t="shared" si="21"/>
        <v>22352200</v>
      </c>
      <c r="AL23" s="98">
        <f t="shared" si="7"/>
        <v>1525600</v>
      </c>
      <c r="AM23" s="44">
        <f t="shared" si="8"/>
        <v>23877800</v>
      </c>
    </row>
    <row r="24" spans="1:39">
      <c r="D24" s="12"/>
      <c r="E24" s="12"/>
      <c r="F24" s="12"/>
      <c r="G24" s="12"/>
      <c r="O24" s="12"/>
      <c r="P24" s="12"/>
      <c r="U24" s="12"/>
      <c r="V24" s="12"/>
      <c r="W24" s="12"/>
      <c r="AA24" s="12"/>
      <c r="AB24" s="89"/>
      <c r="AC24" s="12"/>
      <c r="AD24" s="12"/>
      <c r="AE24" s="12"/>
      <c r="AI24" s="12"/>
      <c r="AJ24" s="12"/>
      <c r="AK24" s="12"/>
      <c r="AM24" s="99">
        <f>AM23-23877800</f>
        <v>0</v>
      </c>
    </row>
    <row r="25" spans="1:39">
      <c r="D25" s="12"/>
      <c r="E25" s="12"/>
      <c r="F25" s="12"/>
      <c r="G25" s="12"/>
      <c r="O25" s="12"/>
      <c r="P25" s="12"/>
      <c r="U25" s="12"/>
      <c r="V25" s="12"/>
      <c r="W25" s="12"/>
      <c r="AA25" s="12"/>
      <c r="AB25" s="12"/>
      <c r="AC25" s="12"/>
      <c r="AD25" s="12"/>
      <c r="AE25" s="12"/>
      <c r="AI25" s="12"/>
      <c r="AJ25" s="12"/>
      <c r="AK25" s="100">
        <f>C23+D23+F23+G23+H23+I23+J23+K23+L23+M23+O23+R23+S23+T23+U23+W23+X23+Y23+Z23+AA23+AC23+AD23+AE23+AF23+AG23+AH23+AI23</f>
        <v>23877800</v>
      </c>
    </row>
    <row r="26" spans="1:39">
      <c r="D26" s="12"/>
      <c r="E26" s="12"/>
      <c r="F26" s="12"/>
      <c r="G26" s="12"/>
      <c r="O26" s="12"/>
      <c r="P26" s="12"/>
      <c r="U26" s="12"/>
      <c r="V26" s="12"/>
      <c r="W26" s="12"/>
      <c r="AA26" s="12"/>
      <c r="AB26" s="12"/>
      <c r="AC26" s="12"/>
      <c r="AD26" s="12"/>
      <c r="AE26" s="12"/>
      <c r="AI26" s="12"/>
      <c r="AJ26" s="12"/>
      <c r="AK26" s="12"/>
    </row>
    <row r="27" spans="1:39">
      <c r="D27" s="12"/>
      <c r="E27" s="12"/>
      <c r="F27" s="12"/>
      <c r="G27" s="12"/>
      <c r="O27" s="12"/>
      <c r="P27" s="12"/>
      <c r="U27" s="12"/>
      <c r="V27" s="12"/>
      <c r="W27" s="12"/>
      <c r="AA27" s="12"/>
      <c r="AB27" s="12"/>
      <c r="AC27" s="12"/>
      <c r="AD27" s="12"/>
      <c r="AE27" s="12"/>
      <c r="AI27" s="12"/>
      <c r="AJ27" s="12"/>
      <c r="AK27" s="12"/>
    </row>
    <row r="28" spans="1:39">
      <c r="D28" s="12"/>
      <c r="E28" s="12"/>
      <c r="F28" s="12"/>
      <c r="G28" s="12"/>
      <c r="O28" s="12"/>
      <c r="P28" s="12"/>
      <c r="U28" s="12"/>
      <c r="V28" s="12"/>
      <c r="W28" s="12"/>
      <c r="AA28" s="12"/>
      <c r="AB28" s="12"/>
      <c r="AC28" s="12"/>
      <c r="AD28" s="12"/>
      <c r="AE28" s="12"/>
      <c r="AI28" s="12"/>
      <c r="AJ28" s="12"/>
      <c r="AK28" s="12"/>
    </row>
    <row r="29" spans="1:39">
      <c r="D29" s="12"/>
      <c r="E29" s="12"/>
      <c r="F29" s="12"/>
      <c r="G29" s="12"/>
      <c r="O29" s="12"/>
      <c r="P29" s="12"/>
      <c r="U29" s="12"/>
      <c r="V29" s="12"/>
      <c r="W29" s="12"/>
      <c r="AA29" s="12"/>
      <c r="AB29" s="12"/>
      <c r="AC29" s="12"/>
      <c r="AD29" s="12"/>
      <c r="AE29" s="12"/>
      <c r="AI29" s="12"/>
      <c r="AJ29" s="12"/>
      <c r="AK29" s="12"/>
    </row>
    <row r="30" spans="1:39">
      <c r="D30" s="12"/>
      <c r="E30" s="12"/>
      <c r="F30" s="12"/>
      <c r="G30" s="12"/>
      <c r="O30" s="12"/>
      <c r="P30" s="12"/>
      <c r="U30" s="12"/>
      <c r="V30" s="12"/>
      <c r="W30" s="12"/>
      <c r="AA30" s="12"/>
      <c r="AB30" s="12"/>
      <c r="AC30" s="12"/>
      <c r="AD30" s="12"/>
      <c r="AE30" s="12"/>
      <c r="AI30" s="12"/>
      <c r="AJ30" s="12"/>
      <c r="AK30" s="12"/>
    </row>
    <row r="31" spans="1:39">
      <c r="D31" s="12"/>
      <c r="E31" s="12"/>
      <c r="F31" s="12"/>
      <c r="G31" s="12"/>
      <c r="O31" s="12"/>
      <c r="P31" s="12"/>
      <c r="U31" s="12"/>
      <c r="V31" s="12"/>
      <c r="W31" s="12"/>
      <c r="AA31" s="12"/>
      <c r="AB31" s="12"/>
      <c r="AC31" s="12"/>
      <c r="AD31" s="12"/>
      <c r="AE31" s="12"/>
      <c r="AI31" s="12"/>
      <c r="AJ31" s="12"/>
      <c r="AK31" s="12"/>
    </row>
    <row r="32" spans="1:39">
      <c r="D32" s="12"/>
      <c r="E32" s="12"/>
      <c r="F32" s="12"/>
      <c r="G32" s="12"/>
      <c r="O32" s="12"/>
      <c r="P32" s="12"/>
      <c r="U32" s="12"/>
      <c r="V32" s="12"/>
      <c r="W32" s="12"/>
      <c r="AA32" s="12"/>
      <c r="AB32" s="12"/>
      <c r="AC32" s="12"/>
      <c r="AD32" s="12"/>
      <c r="AE32" s="12"/>
      <c r="AI32" s="12"/>
      <c r="AJ32" s="12"/>
      <c r="AK32" s="12"/>
    </row>
    <row r="33" spans="4:39">
      <c r="D33" s="12"/>
      <c r="E33" s="12"/>
      <c r="F33" s="12"/>
      <c r="G33" s="12"/>
      <c r="O33" s="12"/>
      <c r="P33" s="12"/>
      <c r="U33" s="12"/>
      <c r="V33" s="12"/>
      <c r="W33" s="12"/>
      <c r="AA33" s="12"/>
      <c r="AB33" s="12"/>
      <c r="AC33" s="12"/>
      <c r="AD33" s="12"/>
      <c r="AE33" s="12"/>
      <c r="AI33" s="12"/>
      <c r="AJ33" s="12"/>
      <c r="AK33" s="12"/>
    </row>
    <row r="34" spans="4:39">
      <c r="D34" s="12"/>
      <c r="E34" s="12"/>
      <c r="F34" s="12"/>
      <c r="G34" s="12"/>
      <c r="O34" s="12"/>
      <c r="P34" s="12"/>
      <c r="U34" s="12"/>
      <c r="V34" s="12"/>
      <c r="W34" s="12"/>
      <c r="AA34" s="12"/>
      <c r="AB34" s="12"/>
      <c r="AC34" s="12"/>
      <c r="AD34" s="12"/>
      <c r="AE34" s="12"/>
      <c r="AI34" s="12"/>
      <c r="AJ34" s="12"/>
      <c r="AK34" s="12"/>
    </row>
    <row r="35" spans="4:39">
      <c r="D35" s="12"/>
      <c r="E35" s="12"/>
      <c r="F35" s="12"/>
      <c r="G35" s="12"/>
      <c r="O35" s="12"/>
      <c r="P35" s="12"/>
      <c r="U35" s="12"/>
      <c r="V35" s="12"/>
      <c r="W35" s="12"/>
      <c r="AA35" s="12"/>
      <c r="AB35" s="12"/>
      <c r="AC35" s="12"/>
      <c r="AD35" s="12"/>
      <c r="AE35" s="12"/>
      <c r="AI35" s="12"/>
      <c r="AJ35" s="12"/>
      <c r="AK35" s="12"/>
    </row>
    <row r="36" spans="4:39">
      <c r="D36" s="12"/>
      <c r="E36" s="12"/>
      <c r="F36" s="12"/>
      <c r="G36" s="12"/>
      <c r="O36" s="12"/>
      <c r="P36" s="12"/>
      <c r="U36" s="12"/>
      <c r="V36" s="12"/>
      <c r="W36" s="12"/>
      <c r="AA36" s="12"/>
      <c r="AB36" s="12"/>
      <c r="AC36" s="12"/>
      <c r="AD36" s="12"/>
      <c r="AE36" s="12"/>
      <c r="AI36" s="12"/>
      <c r="AJ36" s="12"/>
      <c r="AK36" s="12"/>
    </row>
    <row r="37" spans="4:39">
      <c r="D37" s="12"/>
      <c r="E37" s="12"/>
      <c r="F37" s="12"/>
      <c r="G37" s="12"/>
      <c r="O37" s="12"/>
      <c r="P37" s="12"/>
      <c r="U37" s="12"/>
      <c r="V37" s="12"/>
      <c r="W37" s="12"/>
      <c r="AA37" s="12"/>
      <c r="AB37" s="12"/>
      <c r="AC37" s="12"/>
      <c r="AD37" s="12"/>
      <c r="AE37" s="12"/>
      <c r="AI37" s="12"/>
      <c r="AJ37" s="12"/>
      <c r="AK37" s="12"/>
    </row>
    <row r="38" spans="4:39">
      <c r="D38" s="12"/>
      <c r="E38" s="12"/>
      <c r="F38" s="12"/>
      <c r="G38" s="12"/>
      <c r="O38" s="12"/>
      <c r="P38" s="12"/>
      <c r="U38" s="12"/>
      <c r="V38" s="12"/>
      <c r="W38" s="12"/>
      <c r="AA38" s="12"/>
      <c r="AB38" s="12"/>
      <c r="AC38" s="12"/>
      <c r="AD38" s="12"/>
      <c r="AE38" s="12"/>
      <c r="AI38" s="12"/>
      <c r="AJ38" s="12"/>
      <c r="AK38" s="12"/>
    </row>
    <row r="39" spans="4:39">
      <c r="D39" s="12"/>
      <c r="E39" s="12"/>
      <c r="F39" s="12"/>
      <c r="G39" s="12"/>
      <c r="O39" s="12"/>
      <c r="P39" s="12"/>
      <c r="U39" s="12"/>
      <c r="V39" s="12"/>
      <c r="W39" s="12"/>
      <c r="AA39" s="12"/>
      <c r="AB39" s="12"/>
      <c r="AC39" s="12"/>
      <c r="AD39" s="12"/>
      <c r="AE39" s="12"/>
      <c r="AI39" s="12"/>
      <c r="AJ39" s="12"/>
      <c r="AK39" s="12"/>
    </row>
    <row r="40" spans="4:39">
      <c r="D40" s="12"/>
      <c r="E40" s="12"/>
      <c r="F40" s="12"/>
      <c r="G40" s="12"/>
      <c r="O40" s="12"/>
      <c r="P40" s="12"/>
      <c r="U40" s="12"/>
      <c r="V40" s="12"/>
      <c r="W40" s="12"/>
      <c r="AA40" s="12"/>
      <c r="AB40" s="12"/>
      <c r="AC40" s="12"/>
      <c r="AD40" s="12"/>
      <c r="AE40" s="12"/>
      <c r="AI40" s="12"/>
      <c r="AJ40" s="12"/>
      <c r="AK40" s="12"/>
    </row>
    <row r="41" spans="4:39">
      <c r="D41" s="12"/>
      <c r="E41" s="12"/>
      <c r="F41" s="12"/>
      <c r="G41" s="12"/>
      <c r="O41" s="12"/>
      <c r="P41" s="12"/>
      <c r="U41" s="12"/>
      <c r="V41" s="12"/>
      <c r="W41" s="12"/>
      <c r="AA41" s="12"/>
      <c r="AB41" s="12"/>
      <c r="AC41" s="12"/>
      <c r="AD41" s="12"/>
      <c r="AE41" s="12"/>
      <c r="AI41" s="12"/>
      <c r="AJ41" s="12"/>
      <c r="AK41" s="12"/>
    </row>
    <row r="42" spans="4:39">
      <c r="D42" s="12"/>
      <c r="E42" s="12"/>
      <c r="F42" s="12"/>
      <c r="G42" s="12"/>
      <c r="O42" s="12"/>
      <c r="P42" s="12"/>
      <c r="U42" s="12"/>
      <c r="V42" s="12"/>
      <c r="W42" s="12"/>
      <c r="AA42" s="12"/>
      <c r="AB42" s="12"/>
      <c r="AC42" s="12"/>
      <c r="AD42" s="12"/>
      <c r="AE42" s="12"/>
      <c r="AI42" s="12"/>
      <c r="AJ42" s="12"/>
      <c r="AK42" s="12"/>
    </row>
    <row r="43" spans="4:39">
      <c r="D43" s="12"/>
      <c r="E43" s="12"/>
      <c r="F43" s="12"/>
      <c r="G43" s="12"/>
      <c r="O43" s="12"/>
      <c r="P43" s="12"/>
      <c r="U43" s="12"/>
      <c r="V43" s="12"/>
      <c r="W43" s="12"/>
      <c r="AA43" s="12"/>
      <c r="AB43" s="12"/>
      <c r="AC43" s="12"/>
      <c r="AD43" s="12"/>
      <c r="AE43" s="12"/>
      <c r="AI43" s="12"/>
      <c r="AJ43" s="12"/>
      <c r="AK43" s="12"/>
      <c r="AL43" s="12"/>
      <c r="AM43" s="12"/>
    </row>
    <row r="44" spans="4:39">
      <c r="D44" s="12"/>
      <c r="E44" s="12"/>
      <c r="F44" s="12"/>
      <c r="G44" s="12"/>
      <c r="O44" s="12"/>
      <c r="P44" s="12"/>
      <c r="U44" s="12"/>
      <c r="V44" s="12"/>
      <c r="W44" s="12"/>
      <c r="AA44" s="12"/>
      <c r="AB44" s="12"/>
      <c r="AC44" s="12"/>
      <c r="AD44" s="12"/>
      <c r="AE44" s="12"/>
      <c r="AI44" s="12"/>
      <c r="AJ44" s="12"/>
      <c r="AK44" s="12"/>
      <c r="AL44" s="12"/>
      <c r="AM44" s="12"/>
    </row>
    <row r="45" spans="4:39">
      <c r="E45" s="12"/>
      <c r="F45" s="12"/>
      <c r="G45" s="12"/>
      <c r="O45" s="12"/>
      <c r="P45" s="12"/>
      <c r="U45" s="12"/>
      <c r="V45" s="12"/>
      <c r="W45" s="12"/>
      <c r="AA45" s="12"/>
      <c r="AB45" s="12"/>
      <c r="AC45" s="12"/>
      <c r="AD45" s="12"/>
      <c r="AE45" s="12"/>
      <c r="AI45" s="12"/>
      <c r="AJ45" s="12"/>
      <c r="AK45" s="12"/>
      <c r="AL45" s="12"/>
      <c r="AM45" s="12"/>
    </row>
    <row r="46" spans="4:39">
      <c r="D46" s="12"/>
      <c r="E46" s="12"/>
      <c r="F46" s="12"/>
      <c r="G46" s="12"/>
      <c r="H46" s="12"/>
      <c r="I46" s="12"/>
      <c r="J46" s="12"/>
      <c r="O46" s="12"/>
      <c r="P46" s="12"/>
      <c r="AA46" s="12"/>
      <c r="AB46" s="12"/>
      <c r="AC46" s="12"/>
      <c r="AD46" s="12"/>
      <c r="AE46" s="12"/>
      <c r="AI46" s="12"/>
      <c r="AJ46" s="12"/>
      <c r="AK46" s="12"/>
      <c r="AL46" s="12"/>
      <c r="AM46" s="12"/>
    </row>
    <row r="47" spans="4:39">
      <c r="D47" s="12"/>
      <c r="E47" s="12"/>
      <c r="F47" s="12"/>
      <c r="G47" s="12"/>
      <c r="H47" s="12"/>
      <c r="I47" s="12"/>
      <c r="J47" s="12"/>
      <c r="O47" s="12"/>
      <c r="P47" s="12"/>
      <c r="AA47" s="12"/>
      <c r="AB47" s="12"/>
      <c r="AC47" s="12"/>
      <c r="AD47" s="12"/>
      <c r="AE47" s="12"/>
      <c r="AI47" s="12"/>
      <c r="AJ47" s="12"/>
      <c r="AK47" s="12"/>
      <c r="AL47" s="12"/>
      <c r="AM47" s="12"/>
    </row>
    <row r="48" spans="4:39">
      <c r="D48" s="12"/>
      <c r="E48" s="12"/>
      <c r="F48" s="12"/>
      <c r="G48" s="12"/>
      <c r="H48" s="12"/>
      <c r="I48" s="12"/>
      <c r="J48" s="12"/>
      <c r="O48" s="12"/>
      <c r="P48" s="12"/>
      <c r="AA48" s="12"/>
      <c r="AB48" s="12"/>
      <c r="AC48" s="12"/>
      <c r="AD48" s="12"/>
      <c r="AE48" s="12"/>
      <c r="AI48" s="12"/>
      <c r="AJ48" s="12"/>
      <c r="AK48" s="12"/>
      <c r="AL48" s="12"/>
      <c r="AM48" s="12"/>
    </row>
    <row r="49" spans="4:39">
      <c r="D49" s="12"/>
      <c r="E49" s="12"/>
      <c r="F49" s="12"/>
      <c r="G49" s="12"/>
      <c r="H49" s="12"/>
      <c r="I49" s="12"/>
      <c r="J49" s="12"/>
      <c r="O49" s="12"/>
      <c r="P49" s="12"/>
      <c r="AA49" s="12"/>
      <c r="AB49" s="12"/>
      <c r="AC49" s="12"/>
      <c r="AD49" s="12"/>
      <c r="AE49" s="12"/>
      <c r="AI49" s="12"/>
      <c r="AJ49" s="12"/>
      <c r="AK49" s="12"/>
      <c r="AL49" s="12"/>
      <c r="AM49" s="12"/>
    </row>
    <row r="50" spans="4:39">
      <c r="D50" s="12"/>
      <c r="E50" s="12"/>
      <c r="F50" s="12"/>
      <c r="G50" s="12"/>
      <c r="H50" s="12"/>
      <c r="I50" s="12"/>
      <c r="J50" s="12"/>
      <c r="O50" s="12"/>
      <c r="P50" s="12"/>
      <c r="AA50" s="12"/>
      <c r="AB50" s="12"/>
      <c r="AC50" s="12"/>
      <c r="AD50" s="12"/>
      <c r="AE50" s="12"/>
      <c r="AI50" s="12"/>
      <c r="AJ50" s="12"/>
      <c r="AK50" s="12"/>
      <c r="AL50" s="12"/>
      <c r="AM50" s="12"/>
    </row>
    <row r="51" spans="4:39">
      <c r="D51" s="12"/>
      <c r="E51" s="12"/>
      <c r="F51" s="12"/>
      <c r="G51" s="12"/>
      <c r="H51" s="12"/>
      <c r="I51" s="12"/>
      <c r="J51" s="12"/>
      <c r="O51" s="12"/>
      <c r="P51" s="12"/>
      <c r="AA51" s="12"/>
      <c r="AB51" s="12"/>
      <c r="AC51" s="12"/>
      <c r="AD51" s="12"/>
      <c r="AE51" s="12"/>
      <c r="AI51" s="12"/>
      <c r="AJ51" s="12"/>
      <c r="AK51" s="12"/>
      <c r="AL51" s="12"/>
      <c r="AM51" s="12"/>
    </row>
    <row r="52" spans="4:39">
      <c r="D52" s="12"/>
      <c r="E52" s="12"/>
      <c r="F52" s="12"/>
      <c r="G52" s="12"/>
      <c r="H52" s="12"/>
      <c r="I52" s="12"/>
      <c r="J52" s="12"/>
      <c r="O52" s="12"/>
      <c r="P52" s="12"/>
      <c r="AA52" s="12"/>
      <c r="AB52" s="12"/>
      <c r="AC52" s="12"/>
      <c r="AD52" s="12"/>
      <c r="AE52" s="12"/>
      <c r="AI52" s="12"/>
      <c r="AJ52" s="12"/>
      <c r="AK52" s="12"/>
      <c r="AL52" s="12"/>
      <c r="AM52" s="12"/>
    </row>
    <row r="53" spans="4:39">
      <c r="D53" s="12"/>
      <c r="E53" s="12"/>
      <c r="F53" s="12"/>
      <c r="G53" s="12"/>
      <c r="H53" s="12"/>
      <c r="I53" s="12"/>
      <c r="J53" s="12"/>
      <c r="O53" s="12"/>
      <c r="P53" s="12"/>
      <c r="AA53" s="12"/>
      <c r="AB53" s="12"/>
      <c r="AC53" s="12"/>
      <c r="AD53" s="12"/>
      <c r="AE53" s="12"/>
      <c r="AI53" s="12"/>
      <c r="AJ53" s="12"/>
      <c r="AK53" s="12"/>
      <c r="AL53" s="12"/>
      <c r="AM53" s="12"/>
    </row>
    <row r="54" spans="4:39">
      <c r="D54" s="12"/>
      <c r="E54" s="12"/>
      <c r="F54" s="12"/>
      <c r="G54" s="12"/>
      <c r="H54" s="12"/>
      <c r="I54" s="12"/>
      <c r="J54" s="12"/>
      <c r="O54" s="12"/>
      <c r="P54" s="12"/>
      <c r="AA54" s="12"/>
      <c r="AB54" s="12"/>
      <c r="AC54" s="12"/>
      <c r="AD54" s="12"/>
      <c r="AE54" s="12"/>
      <c r="AI54" s="12"/>
      <c r="AJ54" s="12"/>
      <c r="AK54" s="12"/>
      <c r="AL54" s="12"/>
      <c r="AM54" s="12"/>
    </row>
    <row r="55" spans="4:39">
      <c r="D55" s="12"/>
      <c r="E55" s="12"/>
      <c r="F55" s="12"/>
      <c r="G55" s="12"/>
      <c r="H55" s="12"/>
      <c r="I55" s="12"/>
      <c r="J55" s="12"/>
      <c r="O55" s="12"/>
      <c r="P55" s="12"/>
      <c r="AA55" s="12"/>
      <c r="AB55" s="12"/>
      <c r="AC55" s="12"/>
      <c r="AD55" s="12"/>
      <c r="AE55" s="12"/>
      <c r="AI55" s="12"/>
      <c r="AJ55" s="12"/>
      <c r="AK55" s="12"/>
      <c r="AL55" s="12"/>
      <c r="AM55" s="12"/>
    </row>
    <row r="56" spans="4:39">
      <c r="D56" s="12"/>
      <c r="E56" s="12"/>
      <c r="F56" s="12"/>
      <c r="G56" s="12"/>
      <c r="H56" s="12"/>
      <c r="I56" s="12"/>
      <c r="J56" s="12"/>
      <c r="O56" s="12"/>
      <c r="P56" s="12"/>
      <c r="AA56" s="12"/>
      <c r="AB56" s="12"/>
      <c r="AC56" s="12"/>
      <c r="AD56" s="12"/>
      <c r="AE56" s="12"/>
      <c r="AI56" s="12"/>
      <c r="AJ56" s="12"/>
      <c r="AK56" s="12"/>
      <c r="AL56" s="12"/>
      <c r="AM56" s="12"/>
    </row>
    <row r="57" spans="4:39">
      <c r="D57" s="12"/>
      <c r="E57" s="12"/>
      <c r="F57" s="12"/>
      <c r="G57" s="12"/>
      <c r="H57" s="12"/>
      <c r="I57" s="12"/>
      <c r="J57" s="12"/>
      <c r="O57" s="12"/>
      <c r="P57" s="12"/>
      <c r="AA57" s="12"/>
      <c r="AB57" s="12"/>
      <c r="AC57" s="12"/>
      <c r="AD57" s="12"/>
      <c r="AE57" s="12"/>
      <c r="AI57" s="12"/>
      <c r="AJ57" s="12"/>
      <c r="AK57" s="12"/>
      <c r="AL57" s="12"/>
      <c r="AM57" s="12"/>
    </row>
    <row r="58" spans="4:39">
      <c r="D58" s="12"/>
      <c r="E58" s="12"/>
      <c r="F58" s="12"/>
      <c r="G58" s="12"/>
      <c r="H58" s="12"/>
      <c r="I58" s="12"/>
      <c r="J58" s="12"/>
      <c r="O58" s="12"/>
      <c r="P58" s="12"/>
      <c r="AA58" s="12"/>
      <c r="AB58" s="12"/>
      <c r="AC58" s="12"/>
      <c r="AD58" s="12"/>
      <c r="AE58" s="12"/>
      <c r="AI58" s="12"/>
      <c r="AJ58" s="12"/>
      <c r="AK58" s="12"/>
      <c r="AL58" s="12"/>
      <c r="AM58" s="12"/>
    </row>
    <row r="59" spans="4:39">
      <c r="D59" s="12"/>
      <c r="E59" s="12"/>
      <c r="F59" s="12"/>
      <c r="G59" s="12"/>
      <c r="H59" s="12"/>
      <c r="I59" s="12"/>
      <c r="J59" s="12"/>
      <c r="O59" s="12"/>
      <c r="P59" s="12"/>
      <c r="AA59" s="12"/>
      <c r="AB59" s="12"/>
      <c r="AC59" s="12"/>
      <c r="AD59" s="12"/>
      <c r="AE59" s="12"/>
      <c r="AI59" s="12"/>
      <c r="AJ59" s="12"/>
      <c r="AK59" s="12"/>
      <c r="AL59" s="12"/>
      <c r="AM59" s="12"/>
    </row>
    <row r="60" spans="4:39">
      <c r="D60" s="12"/>
      <c r="E60" s="12"/>
      <c r="F60" s="12"/>
      <c r="G60" s="12"/>
      <c r="H60" s="12"/>
      <c r="I60" s="12"/>
      <c r="J60" s="12"/>
      <c r="O60" s="12"/>
      <c r="P60" s="12"/>
      <c r="AA60" s="12"/>
      <c r="AB60" s="12"/>
      <c r="AC60" s="12"/>
      <c r="AD60" s="12"/>
      <c r="AE60" s="12"/>
      <c r="AI60" s="12"/>
      <c r="AJ60" s="12"/>
      <c r="AK60" s="12"/>
      <c r="AL60" s="12"/>
      <c r="AM60" s="12"/>
    </row>
    <row r="61" spans="4:39">
      <c r="D61" s="12"/>
      <c r="E61" s="12"/>
      <c r="F61" s="12"/>
      <c r="G61" s="12"/>
      <c r="H61" s="12"/>
      <c r="I61" s="12"/>
      <c r="J61" s="12"/>
      <c r="O61" s="12"/>
      <c r="P61" s="12"/>
      <c r="AA61" s="12"/>
      <c r="AB61" s="12"/>
      <c r="AC61" s="12"/>
      <c r="AD61" s="12"/>
      <c r="AE61" s="12"/>
      <c r="AI61" s="12"/>
      <c r="AJ61" s="12"/>
      <c r="AK61" s="12"/>
      <c r="AL61" s="12"/>
      <c r="AM61" s="12"/>
    </row>
    <row r="62" spans="4:39">
      <c r="D62" s="12"/>
      <c r="E62" s="12"/>
      <c r="F62" s="12"/>
      <c r="G62" s="12"/>
      <c r="H62" s="12"/>
      <c r="I62" s="12"/>
      <c r="J62" s="12"/>
      <c r="O62" s="12"/>
      <c r="P62" s="12"/>
      <c r="AA62" s="12"/>
      <c r="AB62" s="12"/>
      <c r="AC62" s="12"/>
      <c r="AD62" s="12"/>
      <c r="AE62" s="12"/>
      <c r="AI62" s="12"/>
      <c r="AJ62" s="12"/>
      <c r="AK62" s="12"/>
      <c r="AL62" s="12"/>
      <c r="AM62" s="12"/>
    </row>
    <row r="63" spans="4:39">
      <c r="D63" s="12"/>
      <c r="E63" s="12"/>
      <c r="F63" s="12"/>
      <c r="G63" s="12"/>
      <c r="H63" s="12"/>
      <c r="I63" s="12"/>
      <c r="J63" s="12"/>
      <c r="O63" s="12"/>
      <c r="P63" s="12"/>
      <c r="AA63" s="12"/>
      <c r="AB63" s="12"/>
      <c r="AC63" s="12"/>
      <c r="AD63" s="12"/>
      <c r="AE63" s="12"/>
      <c r="AI63" s="12"/>
      <c r="AJ63" s="12"/>
      <c r="AK63" s="12"/>
      <c r="AL63" s="12"/>
      <c r="AM63" s="12"/>
    </row>
    <row r="64" spans="4:39">
      <c r="D64" s="12"/>
      <c r="E64" s="12"/>
      <c r="F64" s="12"/>
      <c r="G64" s="12"/>
      <c r="H64" s="12"/>
      <c r="I64" s="12"/>
      <c r="J64" s="12"/>
      <c r="O64" s="12"/>
      <c r="P64" s="12"/>
      <c r="AA64" s="12"/>
      <c r="AB64" s="12"/>
      <c r="AC64" s="12"/>
      <c r="AD64" s="12"/>
      <c r="AE64" s="12"/>
      <c r="AI64" s="12"/>
      <c r="AJ64" s="12"/>
      <c r="AK64" s="12"/>
      <c r="AL64" s="12"/>
      <c r="AM64" s="12"/>
    </row>
    <row r="65" spans="4:39">
      <c r="D65" s="12"/>
      <c r="E65" s="12"/>
      <c r="F65" s="12"/>
      <c r="G65" s="12"/>
      <c r="H65" s="12"/>
      <c r="I65" s="12"/>
      <c r="J65" s="12"/>
      <c r="O65" s="12"/>
      <c r="P65" s="12"/>
      <c r="AA65" s="12"/>
      <c r="AB65" s="12"/>
      <c r="AC65" s="12"/>
      <c r="AD65" s="12"/>
      <c r="AE65" s="12"/>
      <c r="AI65" s="12"/>
      <c r="AJ65" s="12"/>
      <c r="AK65" s="12"/>
      <c r="AL65" s="12"/>
      <c r="AM65" s="12"/>
    </row>
    <row r="66" spans="4:39">
      <c r="D66" s="12"/>
      <c r="E66" s="12"/>
      <c r="F66" s="12"/>
      <c r="G66" s="12"/>
      <c r="H66" s="12"/>
      <c r="I66" s="12"/>
      <c r="J66" s="12"/>
      <c r="O66" s="12"/>
      <c r="P66" s="12"/>
      <c r="AA66" s="12"/>
      <c r="AB66" s="12"/>
      <c r="AC66" s="12"/>
      <c r="AD66" s="12"/>
      <c r="AE66" s="12"/>
      <c r="AI66" s="12"/>
      <c r="AJ66" s="12"/>
      <c r="AK66" s="12"/>
      <c r="AL66" s="12"/>
      <c r="AM66" s="12"/>
    </row>
    <row r="67" spans="4:39">
      <c r="D67" s="12"/>
      <c r="E67" s="12"/>
      <c r="F67" s="12"/>
      <c r="G67" s="12"/>
      <c r="H67" s="12"/>
      <c r="I67" s="12"/>
      <c r="J67" s="12"/>
      <c r="O67" s="12"/>
      <c r="P67" s="12"/>
      <c r="AA67" s="12"/>
      <c r="AB67" s="12"/>
      <c r="AC67" s="12"/>
      <c r="AD67" s="12"/>
      <c r="AE67" s="12"/>
    </row>
    <row r="68" spans="4:39">
      <c r="D68" s="12"/>
      <c r="E68" s="12"/>
      <c r="F68" s="12"/>
      <c r="G68" s="12"/>
      <c r="H68" s="12"/>
      <c r="I68" s="12"/>
      <c r="J68" s="12"/>
      <c r="O68" s="12"/>
      <c r="P68" s="12"/>
      <c r="AA68" s="12"/>
      <c r="AB68" s="12"/>
      <c r="AC68" s="12"/>
      <c r="AD68" s="12"/>
      <c r="AE68" s="12"/>
    </row>
    <row r="69" spans="4:39">
      <c r="D69" s="12"/>
      <c r="E69" s="12"/>
      <c r="F69" s="12"/>
      <c r="G69" s="12"/>
      <c r="H69" s="12"/>
      <c r="I69" s="12"/>
      <c r="J69" s="12"/>
      <c r="O69" s="12"/>
      <c r="P69" s="12"/>
      <c r="AA69" s="12"/>
      <c r="AB69" s="12"/>
      <c r="AC69" s="12"/>
      <c r="AD69" s="12"/>
      <c r="AE69" s="12"/>
    </row>
    <row r="70" spans="4:39">
      <c r="D70" s="12"/>
      <c r="E70" s="12"/>
      <c r="F70" s="12"/>
      <c r="G70" s="12"/>
      <c r="H70" s="12"/>
      <c r="I70" s="12"/>
      <c r="J70" s="12"/>
      <c r="O70" s="12"/>
      <c r="P70" s="12"/>
      <c r="AA70" s="12"/>
      <c r="AB70" s="12"/>
      <c r="AC70" s="12"/>
      <c r="AD70" s="12"/>
      <c r="AE70" s="12"/>
    </row>
    <row r="71" spans="4:39">
      <c r="D71" s="12"/>
      <c r="E71" s="12"/>
      <c r="F71" s="12"/>
      <c r="G71" s="12"/>
      <c r="H71" s="12"/>
      <c r="I71" s="12"/>
      <c r="J71" s="12"/>
      <c r="O71" s="12"/>
      <c r="P71" s="12"/>
      <c r="AA71" s="12"/>
      <c r="AB71" s="12"/>
      <c r="AC71" s="12"/>
      <c r="AD71" s="12"/>
      <c r="AE71" s="12"/>
    </row>
    <row r="72" spans="4:39">
      <c r="D72" s="12"/>
      <c r="E72" s="12"/>
      <c r="F72" s="12"/>
      <c r="G72" s="12"/>
      <c r="H72" s="12"/>
      <c r="I72" s="12"/>
      <c r="J72" s="12"/>
      <c r="O72" s="12"/>
      <c r="P72" s="12"/>
      <c r="AA72" s="12"/>
      <c r="AB72" s="12"/>
      <c r="AC72" s="12"/>
      <c r="AD72" s="12"/>
      <c r="AE72" s="12"/>
    </row>
    <row r="73" spans="4:39">
      <c r="D73" s="12"/>
      <c r="E73" s="12"/>
      <c r="F73" s="12"/>
      <c r="G73" s="12"/>
      <c r="H73" s="12"/>
      <c r="I73" s="12"/>
      <c r="J73" s="12"/>
      <c r="O73" s="12"/>
      <c r="P73" s="12"/>
      <c r="AA73" s="12"/>
      <c r="AB73" s="12"/>
      <c r="AC73" s="12"/>
      <c r="AD73" s="12"/>
      <c r="AE73" s="12"/>
    </row>
    <row r="74" spans="4:39">
      <c r="D74" s="12"/>
      <c r="E74" s="12"/>
      <c r="F74" s="12"/>
      <c r="G74" s="12"/>
      <c r="H74" s="12"/>
      <c r="I74" s="12"/>
      <c r="J74" s="12"/>
      <c r="O74" s="12"/>
      <c r="P74" s="12"/>
      <c r="AA74" s="12"/>
      <c r="AB74" s="12"/>
      <c r="AC74" s="12"/>
      <c r="AD74" s="12"/>
      <c r="AE74" s="12"/>
    </row>
    <row r="75" spans="4:39">
      <c r="D75" s="12"/>
      <c r="E75" s="12"/>
      <c r="F75" s="12"/>
      <c r="G75" s="12"/>
      <c r="H75" s="12"/>
      <c r="I75" s="12"/>
      <c r="J75" s="12"/>
      <c r="O75" s="12"/>
      <c r="P75" s="12"/>
      <c r="AA75" s="12"/>
      <c r="AB75" s="12"/>
      <c r="AC75" s="12"/>
      <c r="AD75" s="12"/>
      <c r="AE75" s="12"/>
    </row>
    <row r="76" spans="4:39">
      <c r="D76" s="12"/>
      <c r="E76" s="12"/>
      <c r="F76" s="12"/>
      <c r="G76" s="12"/>
      <c r="H76" s="12"/>
      <c r="I76" s="12"/>
      <c r="J76" s="12"/>
      <c r="O76" s="12"/>
      <c r="P76" s="12"/>
      <c r="AA76" s="12"/>
      <c r="AB76" s="12"/>
      <c r="AC76" s="12"/>
      <c r="AD76" s="12"/>
      <c r="AE76" s="12"/>
    </row>
    <row r="77" spans="4:39">
      <c r="D77" s="12"/>
      <c r="E77" s="12"/>
      <c r="F77" s="12"/>
      <c r="G77" s="12"/>
      <c r="H77" s="12"/>
      <c r="I77" s="12"/>
      <c r="J77" s="12"/>
      <c r="O77" s="12"/>
      <c r="P77" s="12"/>
      <c r="AA77" s="12"/>
      <c r="AB77" s="12"/>
      <c r="AC77" s="12"/>
      <c r="AD77" s="12"/>
      <c r="AE77" s="12"/>
    </row>
    <row r="78" spans="4:39">
      <c r="D78" s="12"/>
      <c r="E78" s="12"/>
      <c r="F78" s="12"/>
      <c r="G78" s="12"/>
      <c r="H78" s="12"/>
      <c r="I78" s="12"/>
      <c r="J78" s="12"/>
      <c r="O78" s="12"/>
      <c r="P78" s="12"/>
      <c r="AA78" s="12"/>
      <c r="AB78" s="12"/>
      <c r="AC78" s="12"/>
      <c r="AD78" s="12"/>
      <c r="AE78" s="12"/>
    </row>
    <row r="79" spans="4:39">
      <c r="D79" s="12"/>
      <c r="E79" s="12"/>
      <c r="F79" s="12"/>
      <c r="G79" s="12"/>
      <c r="H79" s="12"/>
      <c r="I79" s="12"/>
      <c r="J79" s="12"/>
      <c r="O79" s="12"/>
      <c r="P79" s="12"/>
      <c r="AA79" s="12"/>
      <c r="AB79" s="12"/>
      <c r="AC79" s="12"/>
      <c r="AD79" s="12"/>
      <c r="AE79" s="12"/>
    </row>
    <row r="80" spans="4:39">
      <c r="D80" s="12"/>
      <c r="E80" s="12"/>
      <c r="F80" s="12"/>
      <c r="G80" s="12"/>
      <c r="H80" s="12"/>
      <c r="I80" s="12"/>
      <c r="J80" s="12"/>
      <c r="O80" s="12"/>
      <c r="P80" s="12"/>
      <c r="AA80" s="12"/>
      <c r="AB80" s="12"/>
      <c r="AC80" s="12"/>
      <c r="AD80" s="12"/>
      <c r="AE80" s="12"/>
    </row>
    <row r="81" spans="4:31">
      <c r="D81" s="12"/>
      <c r="E81" s="12"/>
      <c r="F81" s="12"/>
      <c r="G81" s="12"/>
      <c r="H81" s="12"/>
      <c r="I81" s="12"/>
      <c r="J81" s="12"/>
      <c r="O81" s="12"/>
      <c r="P81" s="12"/>
      <c r="AA81" s="12"/>
      <c r="AB81" s="12"/>
      <c r="AC81" s="12"/>
      <c r="AD81" s="12"/>
      <c r="AE81" s="12"/>
    </row>
    <row r="82" spans="4:31">
      <c r="D82" s="12"/>
      <c r="E82" s="12"/>
      <c r="F82" s="12"/>
      <c r="G82" s="12"/>
      <c r="H82" s="12"/>
      <c r="I82" s="12"/>
      <c r="J82" s="12"/>
      <c r="O82" s="12"/>
      <c r="P82" s="12"/>
      <c r="AA82" s="12"/>
      <c r="AB82" s="12"/>
      <c r="AC82" s="12"/>
      <c r="AD82" s="12"/>
      <c r="AE82" s="12"/>
    </row>
    <row r="83" spans="4:31">
      <c r="D83" s="12"/>
      <c r="E83" s="12"/>
      <c r="F83" s="12"/>
      <c r="G83" s="12"/>
      <c r="H83" s="12"/>
      <c r="I83" s="12"/>
      <c r="J83" s="12"/>
      <c r="O83" s="12"/>
      <c r="P83" s="12"/>
      <c r="AA83" s="12"/>
      <c r="AB83" s="12"/>
      <c r="AC83" s="12"/>
      <c r="AD83" s="12"/>
      <c r="AE83" s="12"/>
    </row>
    <row r="84" spans="4:31">
      <c r="D84" s="12"/>
      <c r="E84" s="12"/>
      <c r="F84" s="12"/>
      <c r="G84" s="12"/>
      <c r="H84" s="12"/>
      <c r="I84" s="12"/>
      <c r="J84" s="12"/>
      <c r="O84" s="12"/>
      <c r="P84" s="12"/>
      <c r="AA84" s="12"/>
      <c r="AB84" s="12"/>
      <c r="AC84" s="12"/>
      <c r="AD84" s="12"/>
      <c r="AE84" s="12"/>
    </row>
    <row r="85" spans="4:31">
      <c r="D85" s="12"/>
      <c r="E85" s="12"/>
      <c r="F85" s="12"/>
      <c r="G85" s="12"/>
      <c r="H85" s="12"/>
      <c r="I85" s="12"/>
      <c r="J85" s="12"/>
      <c r="O85" s="12"/>
      <c r="P85" s="12"/>
      <c r="AA85" s="12"/>
      <c r="AB85" s="12"/>
      <c r="AC85" s="12"/>
      <c r="AD85" s="12"/>
      <c r="AE85" s="12"/>
    </row>
    <row r="86" spans="4:31">
      <c r="D86" s="12"/>
      <c r="E86" s="12"/>
      <c r="F86" s="12"/>
      <c r="G86" s="12"/>
      <c r="H86" s="12"/>
      <c r="I86" s="12"/>
      <c r="J86" s="12"/>
      <c r="O86" s="12"/>
      <c r="P86" s="12"/>
      <c r="AA86" s="12"/>
      <c r="AB86" s="12"/>
      <c r="AC86" s="12"/>
      <c r="AD86" s="12"/>
      <c r="AE86" s="12"/>
    </row>
    <row r="87" spans="4:31">
      <c r="D87" s="12"/>
      <c r="E87" s="12"/>
      <c r="F87" s="12"/>
      <c r="G87" s="12"/>
      <c r="H87" s="12"/>
      <c r="I87" s="12"/>
      <c r="J87" s="12"/>
      <c r="O87" s="12"/>
      <c r="P87" s="12"/>
      <c r="AA87" s="12"/>
      <c r="AB87" s="12"/>
      <c r="AC87" s="12"/>
      <c r="AD87" s="12"/>
      <c r="AE87" s="12"/>
    </row>
    <row r="88" spans="4:31">
      <c r="D88" s="12"/>
      <c r="E88" s="12"/>
      <c r="F88" s="12"/>
      <c r="G88" s="12"/>
      <c r="H88" s="12"/>
      <c r="I88" s="12"/>
      <c r="J88" s="12"/>
      <c r="O88" s="12"/>
      <c r="P88" s="12"/>
      <c r="AA88" s="12"/>
      <c r="AB88" s="12"/>
      <c r="AC88" s="12"/>
      <c r="AD88" s="12"/>
      <c r="AE88" s="12"/>
    </row>
    <row r="89" spans="4:31">
      <c r="D89" s="12"/>
      <c r="E89" s="12"/>
      <c r="F89" s="12"/>
      <c r="G89" s="12"/>
      <c r="H89" s="12"/>
      <c r="I89" s="12"/>
      <c r="J89" s="12"/>
      <c r="O89" s="12"/>
      <c r="P89" s="12"/>
      <c r="AA89" s="12"/>
      <c r="AB89" s="12"/>
      <c r="AC89" s="12"/>
      <c r="AD89" s="12"/>
      <c r="AE89" s="12"/>
    </row>
    <row r="90" spans="4:31">
      <c r="D90" s="12"/>
      <c r="E90" s="12"/>
      <c r="F90" s="12"/>
      <c r="G90" s="12"/>
      <c r="H90" s="12"/>
      <c r="I90" s="12"/>
      <c r="J90" s="12"/>
      <c r="O90" s="12"/>
      <c r="P90" s="12"/>
      <c r="AA90" s="12"/>
      <c r="AB90" s="12"/>
      <c r="AC90" s="12"/>
      <c r="AD90" s="12"/>
      <c r="AE90" s="12"/>
    </row>
    <row r="91" spans="4:31">
      <c r="D91" s="12"/>
      <c r="E91" s="12"/>
      <c r="F91" s="12"/>
      <c r="G91" s="12"/>
      <c r="H91" s="12"/>
      <c r="I91" s="12"/>
      <c r="J91" s="12"/>
      <c r="O91" s="12"/>
      <c r="P91" s="12"/>
      <c r="AA91" s="12"/>
      <c r="AB91" s="12"/>
      <c r="AC91" s="12"/>
      <c r="AD91" s="12"/>
      <c r="AE91" s="12"/>
    </row>
    <row r="92" spans="4:31">
      <c r="D92" s="12"/>
      <c r="E92" s="12"/>
      <c r="F92" s="12"/>
      <c r="G92" s="12"/>
      <c r="H92" s="12"/>
      <c r="I92" s="12"/>
      <c r="J92" s="12"/>
      <c r="O92" s="12"/>
      <c r="P92" s="12"/>
      <c r="AA92" s="12"/>
      <c r="AB92" s="12"/>
      <c r="AC92" s="12"/>
      <c r="AD92" s="12"/>
      <c r="AE92" s="12"/>
    </row>
    <row r="93" spans="4:31">
      <c r="D93" s="12"/>
      <c r="E93" s="12"/>
      <c r="F93" s="12"/>
      <c r="G93" s="12"/>
      <c r="H93" s="12"/>
      <c r="I93" s="12"/>
      <c r="J93" s="12"/>
      <c r="O93" s="12"/>
      <c r="P93" s="12"/>
      <c r="AA93" s="12"/>
      <c r="AB93" s="12"/>
      <c r="AC93" s="12"/>
      <c r="AD93" s="12"/>
      <c r="AE93" s="12"/>
    </row>
    <row r="94" spans="4:31">
      <c r="D94" s="12"/>
      <c r="E94" s="12"/>
      <c r="F94" s="12"/>
      <c r="G94" s="12"/>
      <c r="H94" s="12"/>
      <c r="I94" s="12"/>
      <c r="J94" s="12"/>
      <c r="O94" s="12"/>
      <c r="P94" s="12"/>
      <c r="AA94" s="12"/>
      <c r="AB94" s="12"/>
      <c r="AC94" s="12"/>
      <c r="AD94" s="12"/>
      <c r="AE94" s="12"/>
    </row>
    <row r="95" spans="4:31">
      <c r="D95" s="12"/>
      <c r="E95" s="12"/>
      <c r="F95" s="12"/>
      <c r="G95" s="12"/>
      <c r="H95" s="12"/>
      <c r="I95" s="12"/>
      <c r="J95" s="12"/>
      <c r="O95" s="12"/>
      <c r="P95" s="12"/>
      <c r="AA95" s="12"/>
      <c r="AB95" s="12"/>
      <c r="AC95" s="12"/>
      <c r="AD95" s="12"/>
      <c r="AE95" s="12"/>
    </row>
    <row r="96" spans="4:31">
      <c r="D96" s="12"/>
      <c r="E96" s="12"/>
      <c r="F96" s="12"/>
      <c r="G96" s="12"/>
      <c r="H96" s="12"/>
      <c r="I96" s="12"/>
      <c r="J96" s="12"/>
      <c r="O96" s="12"/>
      <c r="P96" s="12"/>
      <c r="AA96" s="12"/>
      <c r="AB96" s="12"/>
      <c r="AC96" s="12"/>
      <c r="AD96" s="12"/>
      <c r="AE96" s="12"/>
    </row>
    <row r="97" spans="4:31">
      <c r="D97" s="12"/>
      <c r="E97" s="12"/>
      <c r="F97" s="12"/>
      <c r="G97" s="12"/>
      <c r="H97" s="12"/>
      <c r="I97" s="12"/>
      <c r="J97" s="12"/>
      <c r="O97" s="12"/>
      <c r="P97" s="12"/>
      <c r="AA97" s="12"/>
      <c r="AB97" s="12"/>
      <c r="AC97" s="12"/>
      <c r="AD97" s="12"/>
      <c r="AE97" s="12"/>
    </row>
    <row r="98" spans="4:31">
      <c r="D98" s="12"/>
      <c r="E98" s="12"/>
      <c r="F98" s="12"/>
      <c r="G98" s="12"/>
      <c r="H98" s="12"/>
      <c r="I98" s="12"/>
      <c r="J98" s="12"/>
      <c r="O98" s="12"/>
      <c r="P98" s="12"/>
      <c r="AA98" s="12"/>
      <c r="AB98" s="12"/>
      <c r="AC98" s="12"/>
      <c r="AD98" s="12"/>
      <c r="AE98" s="12"/>
    </row>
    <row r="99" spans="4:31">
      <c r="D99" s="12"/>
      <c r="E99" s="12"/>
      <c r="F99" s="12"/>
      <c r="G99" s="12"/>
      <c r="H99" s="12"/>
      <c r="I99" s="12"/>
      <c r="J99" s="12"/>
      <c r="O99" s="12"/>
      <c r="P99" s="12"/>
      <c r="AA99" s="12"/>
      <c r="AB99" s="12"/>
      <c r="AC99" s="12"/>
      <c r="AD99" s="12"/>
      <c r="AE99" s="12"/>
    </row>
    <row r="100" spans="4:31">
      <c r="D100" s="12"/>
      <c r="E100" s="12"/>
      <c r="F100" s="12"/>
      <c r="G100" s="12"/>
      <c r="H100" s="12"/>
      <c r="I100" s="12"/>
      <c r="J100" s="12"/>
      <c r="O100" s="12"/>
      <c r="P100" s="12"/>
      <c r="AA100" s="12"/>
      <c r="AB100" s="12"/>
      <c r="AC100" s="12"/>
      <c r="AD100" s="12"/>
      <c r="AE100" s="12"/>
    </row>
    <row r="101" spans="4:31">
      <c r="D101" s="12"/>
      <c r="E101" s="12"/>
      <c r="F101" s="12"/>
      <c r="G101" s="12"/>
      <c r="H101" s="12"/>
      <c r="I101" s="12"/>
      <c r="J101" s="12"/>
      <c r="O101" s="12"/>
      <c r="P101" s="12"/>
      <c r="AA101" s="12"/>
      <c r="AB101" s="12"/>
      <c r="AC101" s="12"/>
      <c r="AD101" s="12"/>
      <c r="AE101" s="12"/>
    </row>
    <row r="102" spans="4:31">
      <c r="D102" s="12"/>
      <c r="E102" s="12"/>
      <c r="F102" s="12"/>
      <c r="G102" s="12"/>
      <c r="H102" s="12"/>
      <c r="I102" s="12"/>
      <c r="J102" s="12"/>
      <c r="O102" s="12"/>
      <c r="P102" s="12"/>
      <c r="AA102" s="12"/>
      <c r="AB102" s="12"/>
      <c r="AC102" s="12"/>
      <c r="AD102" s="12"/>
      <c r="AE102" s="12"/>
    </row>
    <row r="103" spans="4:31">
      <c r="D103" s="12"/>
      <c r="E103" s="12"/>
      <c r="F103" s="12"/>
      <c r="G103" s="12"/>
      <c r="H103" s="12"/>
      <c r="I103" s="12"/>
      <c r="J103" s="12"/>
      <c r="O103" s="12"/>
      <c r="P103" s="12"/>
      <c r="AA103" s="12"/>
      <c r="AB103" s="12"/>
      <c r="AC103" s="12"/>
      <c r="AD103" s="12"/>
      <c r="AE103" s="12"/>
    </row>
    <row r="104" spans="4:31">
      <c r="D104" s="12"/>
      <c r="E104" s="12"/>
      <c r="F104" s="12"/>
      <c r="G104" s="12"/>
      <c r="H104" s="12"/>
      <c r="I104" s="12"/>
      <c r="J104" s="12"/>
      <c r="O104" s="12"/>
      <c r="P104" s="12"/>
      <c r="AA104" s="12"/>
      <c r="AB104" s="12"/>
      <c r="AC104" s="12"/>
      <c r="AD104" s="12"/>
      <c r="AE104" s="12"/>
    </row>
    <row r="105" spans="4:31">
      <c r="O105" s="12"/>
      <c r="P105" s="12"/>
      <c r="AA105" s="12"/>
      <c r="AB105" s="12"/>
      <c r="AC105" s="12"/>
      <c r="AD105" s="12"/>
      <c r="AE105" s="12"/>
    </row>
    <row r="106" spans="4:31">
      <c r="O106" s="12"/>
      <c r="P106" s="12"/>
      <c r="AA106" s="12"/>
      <c r="AB106" s="12"/>
      <c r="AC106" s="12"/>
      <c r="AD106" s="12"/>
      <c r="AE106" s="12"/>
    </row>
    <row r="107" spans="4:31">
      <c r="O107" s="12"/>
      <c r="P107" s="12"/>
      <c r="AA107" s="12"/>
      <c r="AB107" s="12"/>
      <c r="AC107" s="12"/>
      <c r="AD107" s="12"/>
      <c r="AE107" s="12"/>
    </row>
    <row r="108" spans="4:31">
      <c r="O108" s="12"/>
      <c r="P108" s="12"/>
      <c r="AA108" s="12"/>
      <c r="AB108" s="12"/>
      <c r="AC108" s="12"/>
      <c r="AD108" s="12"/>
      <c r="AE108" s="12"/>
    </row>
    <row r="109" spans="4:31">
      <c r="O109" s="12"/>
      <c r="P109" s="12"/>
      <c r="AA109" s="12"/>
      <c r="AB109" s="12"/>
      <c r="AC109" s="12"/>
      <c r="AD109" s="12"/>
      <c r="AE109" s="12"/>
    </row>
    <row r="110" spans="4:31">
      <c r="O110" s="12"/>
      <c r="P110" s="12"/>
      <c r="AA110" s="12"/>
      <c r="AB110" s="12"/>
      <c r="AC110" s="12"/>
      <c r="AD110" s="12"/>
      <c r="AE110" s="12"/>
    </row>
    <row r="111" spans="4:31">
      <c r="O111" s="12"/>
      <c r="P111" s="12"/>
      <c r="AA111" s="12"/>
      <c r="AB111" s="12"/>
      <c r="AC111" s="12"/>
      <c r="AD111" s="12"/>
      <c r="AE111" s="12"/>
    </row>
    <row r="112" spans="4:31">
      <c r="O112" s="12"/>
      <c r="P112" s="12"/>
      <c r="AA112" s="12"/>
      <c r="AB112" s="12"/>
      <c r="AC112" s="12"/>
      <c r="AD112" s="12"/>
      <c r="AE112" s="12"/>
    </row>
    <row r="113" spans="15:31">
      <c r="O113" s="12"/>
      <c r="P113" s="12"/>
      <c r="AA113" s="12"/>
      <c r="AB113" s="12"/>
      <c r="AC113" s="12"/>
      <c r="AD113" s="12"/>
      <c r="AE113" s="12"/>
    </row>
    <row r="114" spans="15:31">
      <c r="O114" s="12"/>
      <c r="P114" s="12"/>
      <c r="AA114" s="12"/>
      <c r="AB114" s="12"/>
      <c r="AC114" s="12"/>
      <c r="AD114" s="12"/>
      <c r="AE114" s="12"/>
    </row>
    <row r="115" spans="15:31">
      <c r="O115" s="12"/>
      <c r="P115" s="12"/>
      <c r="AA115" s="12"/>
      <c r="AB115" s="12"/>
      <c r="AC115" s="12"/>
      <c r="AD115" s="12"/>
      <c r="AE115" s="12"/>
    </row>
    <row r="116" spans="15:31">
      <c r="O116" s="12"/>
      <c r="P116" s="12"/>
      <c r="AA116" s="12"/>
      <c r="AB116" s="12"/>
      <c r="AC116" s="12"/>
      <c r="AD116" s="12"/>
      <c r="AE116" s="12"/>
    </row>
    <row r="117" spans="15:31">
      <c r="O117" s="12"/>
      <c r="P117" s="12"/>
      <c r="AA117" s="12"/>
      <c r="AB117" s="12"/>
      <c r="AC117" s="12"/>
      <c r="AD117" s="12"/>
      <c r="AE117" s="12"/>
    </row>
    <row r="118" spans="15:31">
      <c r="O118" s="12"/>
      <c r="P118" s="12"/>
      <c r="AA118" s="12"/>
      <c r="AB118" s="12"/>
      <c r="AC118" s="12"/>
      <c r="AD118" s="12"/>
      <c r="AE118" s="12"/>
    </row>
    <row r="119" spans="15:31">
      <c r="O119" s="12"/>
      <c r="P119" s="12"/>
      <c r="AA119" s="12"/>
      <c r="AB119" s="12"/>
      <c r="AC119" s="12"/>
      <c r="AD119" s="12"/>
      <c r="AE119" s="12"/>
    </row>
    <row r="120" spans="15:31">
      <c r="O120" s="12"/>
      <c r="P120" s="12"/>
      <c r="AA120" s="12"/>
      <c r="AB120" s="12"/>
      <c r="AC120" s="12"/>
      <c r="AD120" s="12"/>
      <c r="AE120" s="12"/>
    </row>
    <row r="121" spans="15:31">
      <c r="O121" s="12"/>
      <c r="P121" s="12"/>
      <c r="AA121" s="12"/>
      <c r="AB121" s="12"/>
      <c r="AC121" s="12"/>
      <c r="AD121" s="12"/>
      <c r="AE121" s="12"/>
    </row>
    <row r="122" spans="15:31">
      <c r="O122" s="12"/>
      <c r="P122" s="12"/>
      <c r="AA122" s="12"/>
      <c r="AB122" s="12"/>
      <c r="AC122" s="12"/>
      <c r="AD122" s="12"/>
      <c r="AE122" s="12"/>
    </row>
    <row r="123" spans="15:31">
      <c r="O123" s="12"/>
      <c r="P123" s="12"/>
      <c r="AA123" s="12"/>
      <c r="AB123" s="12"/>
      <c r="AC123" s="12"/>
      <c r="AD123" s="12"/>
      <c r="AE123" s="12"/>
    </row>
    <row r="124" spans="15:31">
      <c r="O124" s="12"/>
      <c r="P124" s="12"/>
      <c r="AA124" s="12"/>
      <c r="AB124" s="12"/>
      <c r="AC124" s="12"/>
      <c r="AD124" s="12"/>
      <c r="AE124" s="12"/>
    </row>
    <row r="125" spans="15:31">
      <c r="O125" s="12"/>
      <c r="P125" s="12"/>
      <c r="AA125" s="12"/>
      <c r="AB125" s="12"/>
      <c r="AC125" s="12"/>
      <c r="AD125" s="12"/>
      <c r="AE125" s="12"/>
    </row>
    <row r="126" spans="15:31">
      <c r="O126" s="12"/>
      <c r="P126" s="12"/>
      <c r="AA126" s="12"/>
      <c r="AB126" s="12"/>
      <c r="AC126" s="12"/>
      <c r="AD126" s="12"/>
      <c r="AE126" s="12"/>
    </row>
    <row r="127" spans="15:31">
      <c r="O127" s="12"/>
      <c r="P127" s="12"/>
      <c r="AA127" s="12"/>
      <c r="AB127" s="12"/>
      <c r="AC127" s="12"/>
      <c r="AD127" s="12"/>
      <c r="AE127" s="12"/>
    </row>
    <row r="128" spans="15:31">
      <c r="O128" s="12"/>
      <c r="P128" s="12"/>
      <c r="AA128" s="12"/>
      <c r="AB128" s="12"/>
      <c r="AC128" s="12"/>
      <c r="AD128" s="12"/>
      <c r="AE128" s="12"/>
    </row>
    <row r="129" spans="15:31">
      <c r="O129" s="12"/>
      <c r="P129" s="12"/>
      <c r="AA129" s="12"/>
      <c r="AB129" s="12"/>
      <c r="AC129" s="12"/>
      <c r="AD129" s="12"/>
      <c r="AE129" s="12"/>
    </row>
    <row r="130" spans="15:31">
      <c r="O130" s="12"/>
      <c r="P130" s="12"/>
      <c r="AA130" s="12"/>
      <c r="AB130" s="12"/>
      <c r="AC130" s="12"/>
      <c r="AD130" s="12"/>
      <c r="AE130" s="12"/>
    </row>
    <row r="131" spans="15:31">
      <c r="O131" s="12"/>
      <c r="P131" s="12"/>
      <c r="AA131" s="12"/>
      <c r="AB131" s="12"/>
      <c r="AC131" s="12"/>
      <c r="AD131" s="12"/>
      <c r="AE131" s="12"/>
    </row>
    <row r="132" spans="15:31">
      <c r="O132" s="12"/>
      <c r="P132" s="12"/>
      <c r="AA132" s="12"/>
      <c r="AB132" s="12"/>
      <c r="AC132" s="12"/>
      <c r="AD132" s="12"/>
      <c r="AE132" s="12"/>
    </row>
    <row r="133" spans="15:31">
      <c r="O133" s="12"/>
      <c r="P133" s="12"/>
      <c r="AA133" s="12"/>
      <c r="AB133" s="12"/>
      <c r="AC133" s="12"/>
      <c r="AD133" s="12"/>
      <c r="AE133" s="12"/>
    </row>
    <row r="134" spans="15:31">
      <c r="O134" s="12"/>
      <c r="P134" s="12"/>
      <c r="AA134" s="12"/>
      <c r="AB134" s="12"/>
      <c r="AC134" s="12"/>
      <c r="AD134" s="12"/>
      <c r="AE134" s="12"/>
    </row>
    <row r="135" spans="15:31">
      <c r="O135" s="12"/>
      <c r="P135" s="12"/>
      <c r="AA135" s="12"/>
      <c r="AB135" s="12"/>
      <c r="AC135" s="12"/>
      <c r="AD135" s="12"/>
      <c r="AE135" s="12"/>
    </row>
    <row r="136" spans="15:31">
      <c r="O136" s="12"/>
      <c r="P136" s="12"/>
      <c r="AA136" s="12"/>
      <c r="AB136" s="12"/>
      <c r="AC136" s="12"/>
      <c r="AD136" s="12"/>
      <c r="AE136" s="12"/>
    </row>
    <row r="137" spans="15:31">
      <c r="O137" s="12"/>
      <c r="P137" s="12"/>
      <c r="AA137" s="12"/>
      <c r="AB137" s="12"/>
      <c r="AC137" s="12"/>
      <c r="AD137" s="12"/>
      <c r="AE137" s="12"/>
    </row>
    <row r="138" spans="15:31">
      <c r="O138" s="12"/>
      <c r="P138" s="12"/>
      <c r="AA138" s="12"/>
      <c r="AB138" s="12"/>
      <c r="AC138" s="12"/>
      <c r="AD138" s="12"/>
      <c r="AE138" s="12"/>
    </row>
    <row r="139" spans="15:31">
      <c r="O139" s="12"/>
      <c r="P139" s="12"/>
      <c r="AA139" s="12"/>
      <c r="AB139" s="12"/>
      <c r="AC139" s="12"/>
      <c r="AD139" s="12"/>
      <c r="AE139" s="12"/>
    </row>
    <row r="140" spans="15:31">
      <c r="O140" s="12"/>
      <c r="P140" s="12"/>
      <c r="AA140" s="12"/>
      <c r="AB140" s="12"/>
      <c r="AC140" s="12"/>
      <c r="AD140" s="12"/>
      <c r="AE140" s="12"/>
    </row>
    <row r="141" spans="15:31">
      <c r="O141" s="12"/>
      <c r="P141" s="12"/>
      <c r="AA141" s="12"/>
      <c r="AB141" s="12"/>
      <c r="AC141" s="12"/>
      <c r="AD141" s="12"/>
      <c r="AE141" s="12"/>
    </row>
    <row r="142" spans="15:31">
      <c r="O142" s="12"/>
      <c r="P142" s="12"/>
      <c r="AA142" s="12"/>
      <c r="AB142" s="12"/>
      <c r="AC142" s="12"/>
      <c r="AD142" s="12"/>
      <c r="AE142" s="12"/>
    </row>
    <row r="143" spans="15:31">
      <c r="O143" s="12"/>
      <c r="P143" s="12"/>
      <c r="AA143" s="12"/>
      <c r="AB143" s="12"/>
      <c r="AC143" s="12"/>
      <c r="AD143" s="12"/>
      <c r="AE143" s="12"/>
    </row>
    <row r="144" spans="15:31">
      <c r="O144" s="12"/>
      <c r="P144" s="12"/>
      <c r="AA144" s="12"/>
      <c r="AB144" s="12"/>
      <c r="AC144" s="12"/>
      <c r="AD144" s="12"/>
      <c r="AE144" s="12"/>
    </row>
    <row r="145" spans="15:31">
      <c r="O145" s="12"/>
      <c r="P145" s="12"/>
      <c r="AA145" s="12"/>
      <c r="AB145" s="12"/>
      <c r="AC145" s="12"/>
      <c r="AD145" s="12"/>
      <c r="AE145" s="12"/>
    </row>
    <row r="146" spans="15:31">
      <c r="O146" s="12"/>
      <c r="P146" s="12"/>
      <c r="AA146" s="12"/>
      <c r="AB146" s="12"/>
      <c r="AC146" s="12"/>
      <c r="AD146" s="12"/>
      <c r="AE146" s="12"/>
    </row>
    <row r="147" spans="15:31">
      <c r="O147" s="12"/>
      <c r="P147" s="12"/>
      <c r="AA147" s="12"/>
      <c r="AB147" s="12"/>
      <c r="AC147" s="12"/>
      <c r="AD147" s="12"/>
      <c r="AE147" s="12"/>
    </row>
    <row r="148" spans="15:31">
      <c r="O148" s="12"/>
      <c r="P148" s="12"/>
      <c r="AA148" s="12"/>
      <c r="AB148" s="12"/>
      <c r="AC148" s="12"/>
      <c r="AD148" s="12"/>
      <c r="AE148" s="12"/>
    </row>
    <row r="149" spans="15:31">
      <c r="O149" s="12"/>
      <c r="P149" s="12"/>
      <c r="AA149" s="12"/>
      <c r="AB149" s="12"/>
      <c r="AC149" s="12"/>
      <c r="AD149" s="12"/>
      <c r="AE149" s="12"/>
    </row>
    <row r="150" spans="15:31">
      <c r="O150" s="12"/>
      <c r="P150" s="12"/>
      <c r="AA150" s="12"/>
      <c r="AB150" s="12"/>
      <c r="AC150" s="12"/>
      <c r="AD150" s="12"/>
      <c r="AE150" s="12"/>
    </row>
    <row r="151" spans="15:31">
      <c r="O151" s="12"/>
      <c r="P151" s="12"/>
      <c r="AA151" s="12"/>
      <c r="AB151" s="12"/>
      <c r="AC151" s="12"/>
      <c r="AD151" s="12"/>
      <c r="AE151" s="12"/>
    </row>
    <row r="152" spans="15:31">
      <c r="O152" s="12"/>
      <c r="P152" s="12"/>
      <c r="AA152" s="12"/>
      <c r="AB152" s="12"/>
      <c r="AC152" s="12"/>
      <c r="AD152" s="12"/>
      <c r="AE152" s="12"/>
    </row>
    <row r="153" spans="15:31">
      <c r="O153" s="12"/>
      <c r="P153" s="12"/>
      <c r="AA153" s="12"/>
      <c r="AB153" s="12"/>
      <c r="AC153" s="12"/>
      <c r="AD153" s="12"/>
      <c r="AE153" s="12"/>
    </row>
    <row r="154" spans="15:31">
      <c r="O154" s="12"/>
      <c r="P154" s="12"/>
      <c r="AA154" s="12"/>
      <c r="AB154" s="12"/>
      <c r="AC154" s="12"/>
      <c r="AD154" s="12"/>
      <c r="AE154" s="12"/>
    </row>
    <row r="155" spans="15:31">
      <c r="O155" s="12"/>
      <c r="P155" s="12"/>
      <c r="AA155" s="12"/>
      <c r="AB155" s="12"/>
      <c r="AC155" s="12"/>
      <c r="AD155" s="12"/>
      <c r="AE155" s="12"/>
    </row>
    <row r="156" spans="15:31">
      <c r="O156" s="12"/>
      <c r="P156" s="12"/>
      <c r="AA156" s="12"/>
      <c r="AB156" s="12"/>
      <c r="AC156" s="12"/>
      <c r="AD156" s="12"/>
      <c r="AE156" s="12"/>
    </row>
    <row r="157" spans="15:31">
      <c r="O157" s="12"/>
      <c r="P157" s="12"/>
      <c r="AA157" s="12"/>
      <c r="AB157" s="12"/>
      <c r="AC157" s="12"/>
      <c r="AD157" s="12"/>
      <c r="AE157" s="12"/>
    </row>
    <row r="158" spans="15:31">
      <c r="O158" s="12"/>
      <c r="P158" s="12"/>
      <c r="AA158" s="12"/>
      <c r="AB158" s="12"/>
      <c r="AC158" s="12"/>
      <c r="AD158" s="12"/>
      <c r="AE158" s="12"/>
    </row>
    <row r="159" spans="15:31">
      <c r="O159" s="12"/>
      <c r="P159" s="12"/>
      <c r="AA159" s="12"/>
      <c r="AB159" s="12"/>
      <c r="AC159" s="12"/>
      <c r="AD159" s="12"/>
      <c r="AE159" s="12"/>
    </row>
    <row r="160" spans="15:31">
      <c r="O160" s="12"/>
      <c r="P160" s="12"/>
      <c r="AA160" s="12"/>
      <c r="AB160" s="12"/>
      <c r="AC160" s="12"/>
      <c r="AD160" s="12"/>
      <c r="AE160" s="12"/>
    </row>
    <row r="161" spans="15:31">
      <c r="O161" s="12"/>
      <c r="P161" s="12"/>
      <c r="AA161" s="12"/>
      <c r="AB161" s="12"/>
      <c r="AC161" s="12"/>
      <c r="AD161" s="12"/>
      <c r="AE161" s="12"/>
    </row>
    <row r="162" spans="15:31">
      <c r="O162" s="12"/>
      <c r="P162" s="12"/>
      <c r="AA162" s="12"/>
      <c r="AB162" s="12"/>
      <c r="AC162" s="12"/>
      <c r="AD162" s="12"/>
      <c r="AE162" s="12"/>
    </row>
    <row r="163" spans="15:31">
      <c r="O163" s="12"/>
      <c r="P163" s="12"/>
      <c r="AA163" s="12"/>
      <c r="AB163" s="12"/>
      <c r="AC163" s="12"/>
      <c r="AD163" s="12"/>
      <c r="AE163" s="12"/>
    </row>
    <row r="164" spans="15:31">
      <c r="O164" s="12"/>
      <c r="P164" s="12"/>
      <c r="AA164" s="12"/>
      <c r="AB164" s="12"/>
      <c r="AC164" s="12"/>
      <c r="AD164" s="12"/>
      <c r="AE164" s="12"/>
    </row>
    <row r="165" spans="15:31">
      <c r="O165" s="12"/>
      <c r="P165" s="12"/>
      <c r="AA165" s="12"/>
      <c r="AB165" s="12"/>
      <c r="AC165" s="12"/>
      <c r="AD165" s="12"/>
      <c r="AE165" s="12"/>
    </row>
    <row r="166" spans="15:31">
      <c r="O166" s="12"/>
      <c r="P166" s="12"/>
      <c r="AA166" s="12"/>
      <c r="AB166" s="12"/>
      <c r="AC166" s="12"/>
      <c r="AD166" s="12"/>
      <c r="AE166" s="12"/>
    </row>
    <row r="167" spans="15:31">
      <c r="O167" s="12"/>
      <c r="P167" s="12"/>
      <c r="AA167" s="12"/>
      <c r="AB167" s="12"/>
      <c r="AC167" s="12"/>
      <c r="AD167" s="12"/>
      <c r="AE167" s="12"/>
    </row>
    <row r="168" spans="15:31">
      <c r="O168" s="12"/>
      <c r="P168" s="12"/>
      <c r="AA168" s="12"/>
      <c r="AB168" s="12"/>
      <c r="AC168" s="12"/>
      <c r="AD168" s="12"/>
      <c r="AE168" s="12"/>
    </row>
    <row r="169" spans="15:31">
      <c r="O169" s="12"/>
      <c r="P169" s="12"/>
      <c r="AA169" s="12"/>
      <c r="AB169" s="12"/>
      <c r="AC169" s="12"/>
      <c r="AD169" s="12"/>
      <c r="AE169" s="12"/>
    </row>
    <row r="170" spans="15:31">
      <c r="O170" s="12"/>
      <c r="P170" s="12"/>
      <c r="AA170" s="12"/>
      <c r="AB170" s="12"/>
      <c r="AC170" s="12"/>
      <c r="AD170" s="12"/>
      <c r="AE170" s="12"/>
    </row>
    <row r="171" spans="15:31">
      <c r="O171" s="12"/>
      <c r="P171" s="12"/>
      <c r="AA171" s="12"/>
      <c r="AB171" s="12"/>
      <c r="AC171" s="12"/>
      <c r="AD171" s="12"/>
      <c r="AE171" s="12"/>
    </row>
    <row r="172" spans="15:31">
      <c r="O172" s="12"/>
      <c r="P172" s="12"/>
      <c r="AA172" s="12"/>
      <c r="AB172" s="12"/>
      <c r="AC172" s="12"/>
      <c r="AD172" s="12"/>
      <c r="AE172" s="12"/>
    </row>
    <row r="173" spans="15:31">
      <c r="O173" s="12"/>
      <c r="P173" s="12"/>
      <c r="AA173" s="12"/>
      <c r="AB173" s="12"/>
      <c r="AC173" s="12"/>
      <c r="AD173" s="12"/>
      <c r="AE173" s="12"/>
    </row>
    <row r="174" spans="15:31">
      <c r="O174" s="12"/>
      <c r="P174" s="12"/>
      <c r="AA174" s="12"/>
      <c r="AB174" s="12"/>
      <c r="AC174" s="12"/>
      <c r="AD174" s="12"/>
      <c r="AE174" s="12"/>
    </row>
    <row r="175" spans="15:31">
      <c r="O175" s="12"/>
      <c r="P175" s="12"/>
      <c r="AA175" s="12"/>
      <c r="AB175" s="12"/>
      <c r="AC175" s="12"/>
      <c r="AD175" s="12"/>
      <c r="AE175" s="12"/>
    </row>
    <row r="176" spans="15:31">
      <c r="O176" s="12"/>
      <c r="P176" s="12"/>
      <c r="AA176" s="12"/>
      <c r="AB176" s="12"/>
      <c r="AC176" s="12"/>
      <c r="AD176" s="12"/>
      <c r="AE176" s="12"/>
    </row>
    <row r="177" spans="15:31">
      <c r="O177" s="12"/>
      <c r="P177" s="12"/>
      <c r="AA177" s="12"/>
      <c r="AB177" s="12"/>
      <c r="AC177" s="12"/>
      <c r="AD177" s="12"/>
      <c r="AE177" s="12"/>
    </row>
    <row r="178" spans="15:31">
      <c r="O178" s="12"/>
      <c r="P178" s="12"/>
      <c r="AA178" s="12"/>
      <c r="AB178" s="12"/>
      <c r="AC178" s="12"/>
      <c r="AD178" s="12"/>
      <c r="AE178" s="12"/>
    </row>
    <row r="179" spans="15:31">
      <c r="O179" s="12"/>
      <c r="P179" s="12"/>
      <c r="AA179" s="12"/>
      <c r="AB179" s="12"/>
      <c r="AC179" s="12"/>
      <c r="AD179" s="12"/>
      <c r="AE179" s="12"/>
    </row>
    <row r="180" spans="15:31">
      <c r="O180" s="12"/>
      <c r="P180" s="12"/>
      <c r="AA180" s="12"/>
      <c r="AB180" s="12"/>
      <c r="AC180" s="12"/>
      <c r="AD180" s="12"/>
      <c r="AE180" s="12"/>
    </row>
    <row r="181" spans="15:31">
      <c r="O181" s="12"/>
      <c r="P181" s="12"/>
      <c r="AA181" s="12"/>
      <c r="AB181" s="12"/>
      <c r="AC181" s="12"/>
      <c r="AD181" s="12"/>
      <c r="AE181" s="12"/>
    </row>
    <row r="182" spans="15:31">
      <c r="O182" s="12"/>
      <c r="P182" s="12"/>
      <c r="AA182" s="12"/>
      <c r="AB182" s="12"/>
      <c r="AC182" s="12"/>
      <c r="AD182" s="12"/>
      <c r="AE182" s="12"/>
    </row>
    <row r="183" spans="15:31">
      <c r="O183" s="12"/>
      <c r="P183" s="12"/>
      <c r="AA183" s="12"/>
      <c r="AB183" s="12"/>
      <c r="AC183" s="12"/>
      <c r="AD183" s="12"/>
      <c r="AE183" s="12"/>
    </row>
    <row r="184" spans="15:31">
      <c r="O184" s="12"/>
      <c r="P184" s="12"/>
    </row>
    <row r="185" spans="15:31">
      <c r="O185" s="12"/>
      <c r="P185" s="12"/>
    </row>
    <row r="186" spans="15:31">
      <c r="O186" s="12"/>
      <c r="P186" s="12"/>
    </row>
    <row r="187" spans="15:31">
      <c r="O187" s="12"/>
      <c r="P187" s="12"/>
    </row>
    <row r="188" spans="15:31">
      <c r="O188" s="12"/>
      <c r="P188" s="12"/>
    </row>
    <row r="189" spans="15:31">
      <c r="O189" s="12"/>
      <c r="P189" s="12"/>
    </row>
    <row r="190" spans="15:31">
      <c r="O190" s="12"/>
      <c r="P190" s="12"/>
    </row>
    <row r="191" spans="15:31">
      <c r="O191" s="12"/>
      <c r="P191" s="12"/>
    </row>
    <row r="192" spans="15:31">
      <c r="O192" s="12"/>
      <c r="P192" s="12"/>
    </row>
    <row r="193" spans="15:16">
      <c r="O193" s="12"/>
      <c r="P193" s="12"/>
    </row>
    <row r="194" spans="15:16">
      <c r="O194" s="12"/>
      <c r="P194" s="12"/>
    </row>
    <row r="195" spans="15:16">
      <c r="O195" s="12"/>
      <c r="P195" s="12"/>
    </row>
    <row r="196" spans="15:16">
      <c r="O196" s="12"/>
      <c r="P196" s="12"/>
    </row>
    <row r="197" spans="15:16">
      <c r="O197" s="12"/>
      <c r="P197" s="12"/>
    </row>
    <row r="198" spans="15:16">
      <c r="O198" s="12"/>
      <c r="P198" s="12"/>
    </row>
    <row r="199" spans="15:16">
      <c r="O199" s="12"/>
      <c r="P199" s="12"/>
    </row>
    <row r="200" spans="15:16">
      <c r="O200" s="12"/>
      <c r="P200" s="12"/>
    </row>
    <row r="201" spans="15:16">
      <c r="O201" s="12"/>
      <c r="P201" s="12"/>
    </row>
    <row r="202" spans="15:16">
      <c r="O202" s="12"/>
      <c r="P202" s="12"/>
    </row>
    <row r="203" spans="15:16">
      <c r="O203" s="12"/>
      <c r="P203" s="12"/>
    </row>
    <row r="204" spans="15:16">
      <c r="O204" s="12"/>
      <c r="P204" s="12"/>
    </row>
    <row r="205" spans="15:16">
      <c r="O205" s="12"/>
      <c r="P205" s="12"/>
    </row>
  </sheetData>
  <mergeCells count="22">
    <mergeCell ref="A22:B22"/>
    <mergeCell ref="A23:B23"/>
    <mergeCell ref="A16:B16"/>
    <mergeCell ref="A17:B17"/>
    <mergeCell ref="A18:B18"/>
    <mergeCell ref="A19:B19"/>
    <mergeCell ref="A20:B20"/>
    <mergeCell ref="A21:B21"/>
    <mergeCell ref="A15:B15"/>
    <mergeCell ref="A8:B8"/>
    <mergeCell ref="A9:B9"/>
    <mergeCell ref="A10:B10"/>
    <mergeCell ref="A11:B11"/>
    <mergeCell ref="A12:B12"/>
    <mergeCell ref="A13:B13"/>
    <mergeCell ref="A14:B14"/>
    <mergeCell ref="A7:B7"/>
    <mergeCell ref="A2:B2"/>
    <mergeCell ref="A3:B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fitToWidth="2" fitToHeight="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A57"/>
  <sheetViews>
    <sheetView tabSelected="1" topLeftCell="A2" workbookViewId="0">
      <pane xSplit="2" ySplit="1" topLeftCell="AL6" activePane="bottomRight" state="frozen"/>
      <selection activeCell="A2" sqref="A2"/>
      <selection pane="topRight" activeCell="C2" sqref="C2"/>
      <selection pane="bottomLeft" activeCell="A3" sqref="A3"/>
      <selection pane="bottomRight" activeCell="AP15" sqref="AP15"/>
    </sheetView>
  </sheetViews>
  <sheetFormatPr defaultRowHeight="15"/>
  <cols>
    <col min="1" max="1" width="13.28515625" style="1" customWidth="1"/>
    <col min="2" max="2" width="23.140625" style="1" customWidth="1"/>
    <col min="3" max="3" width="10.140625" style="1" customWidth="1"/>
    <col min="4" max="4" width="7.7109375" style="1" customWidth="1"/>
    <col min="5" max="5" width="7" style="1" customWidth="1"/>
    <col min="6" max="6" width="6.28515625" style="1" customWidth="1"/>
    <col min="7" max="7" width="7.28515625" style="1" customWidth="1"/>
    <col min="8" max="8" width="11.42578125" style="1" customWidth="1"/>
    <col min="9" max="11" width="7.28515625" style="1" customWidth="1"/>
    <col min="12" max="12" width="8.140625" style="1" customWidth="1"/>
    <col min="13" max="13" width="9.140625" style="18"/>
    <col min="14" max="17" width="9.140625" style="12"/>
    <col min="18" max="18" width="9.140625" style="26"/>
    <col min="19" max="22" width="9.140625" style="12"/>
    <col min="23" max="23" width="9.140625" style="18"/>
    <col min="24" max="27" width="9.140625" style="12"/>
    <col min="28" max="28" width="9.140625" style="18"/>
    <col min="29" max="32" width="9.140625" style="12"/>
    <col min="33" max="33" width="9.140625" style="18"/>
    <col min="34" max="37" width="9.140625" style="35"/>
    <col min="38" max="38" width="9.140625" style="32"/>
    <col min="39" max="42" width="9.140625" style="35"/>
    <col min="43" max="43" width="9.140625" style="32"/>
    <col min="44" max="47" width="9.140625" style="35"/>
    <col min="48" max="48" width="9.140625" style="18"/>
    <col min="49" max="52" width="9.140625" style="12"/>
    <col min="53" max="53" width="9.140625" style="11"/>
  </cols>
  <sheetData>
    <row r="1" spans="1:53" s="44" customFormat="1">
      <c r="M1" s="45"/>
      <c r="N1" s="107">
        <v>221</v>
      </c>
      <c r="O1" s="108"/>
      <c r="P1" s="108"/>
      <c r="Q1" s="109"/>
      <c r="R1" s="32"/>
      <c r="S1" s="107">
        <v>222</v>
      </c>
      <c r="T1" s="108"/>
      <c r="U1" s="108"/>
      <c r="V1" s="109"/>
      <c r="W1" s="45"/>
      <c r="X1" s="107">
        <v>223</v>
      </c>
      <c r="Y1" s="108"/>
      <c r="Z1" s="108"/>
      <c r="AA1" s="109"/>
      <c r="AB1" s="45"/>
      <c r="AC1" s="53">
        <v>225</v>
      </c>
      <c r="AD1" s="54"/>
      <c r="AE1" s="54"/>
      <c r="AF1" s="55"/>
      <c r="AG1" s="56"/>
      <c r="AH1" s="112">
        <v>226</v>
      </c>
      <c r="AI1" s="112"/>
      <c r="AJ1" s="112"/>
      <c r="AK1" s="112"/>
      <c r="AL1" s="32"/>
      <c r="AM1" s="107">
        <v>290</v>
      </c>
      <c r="AN1" s="108"/>
      <c r="AO1" s="108"/>
      <c r="AP1" s="109"/>
      <c r="AQ1" s="32"/>
      <c r="AR1" s="107"/>
      <c r="AS1" s="108"/>
      <c r="AT1" s="108"/>
      <c r="AU1" s="109"/>
      <c r="AV1" s="58"/>
      <c r="AW1" s="107">
        <v>340</v>
      </c>
      <c r="AX1" s="108"/>
      <c r="AY1" s="108"/>
      <c r="AZ1" s="109"/>
      <c r="BA1" s="46"/>
    </row>
    <row r="2" spans="1:53" ht="23.25">
      <c r="A2" s="36" t="s">
        <v>0</v>
      </c>
      <c r="B2" s="37"/>
      <c r="C2" s="122" t="s">
        <v>60</v>
      </c>
      <c r="D2" s="120">
        <v>1</v>
      </c>
      <c r="E2" s="120">
        <v>2</v>
      </c>
      <c r="F2" s="120">
        <v>3</v>
      </c>
      <c r="G2" s="120">
        <v>4</v>
      </c>
      <c r="H2" s="122" t="s">
        <v>61</v>
      </c>
      <c r="I2" s="120"/>
      <c r="J2" s="120"/>
      <c r="K2" s="120"/>
      <c r="L2" s="120"/>
      <c r="M2" s="42" t="s">
        <v>3</v>
      </c>
      <c r="N2" s="39">
        <v>1</v>
      </c>
      <c r="O2" s="39">
        <v>2</v>
      </c>
      <c r="P2" s="39">
        <v>3</v>
      </c>
      <c r="Q2" s="39">
        <v>4</v>
      </c>
      <c r="R2" s="40" t="s">
        <v>59</v>
      </c>
      <c r="S2" s="48">
        <v>1</v>
      </c>
      <c r="T2" s="48">
        <v>2</v>
      </c>
      <c r="U2" s="48">
        <v>3</v>
      </c>
      <c r="V2" s="48">
        <v>4</v>
      </c>
      <c r="W2" s="41" t="s">
        <v>13</v>
      </c>
      <c r="X2" s="48">
        <v>1</v>
      </c>
      <c r="Y2" s="48">
        <v>2</v>
      </c>
      <c r="Z2" s="48">
        <v>3</v>
      </c>
      <c r="AA2" s="48">
        <v>4</v>
      </c>
      <c r="AB2" s="38" t="s">
        <v>16</v>
      </c>
      <c r="AC2" s="48">
        <v>1</v>
      </c>
      <c r="AD2" s="48">
        <v>2</v>
      </c>
      <c r="AE2" s="48">
        <v>3</v>
      </c>
      <c r="AF2" s="48">
        <v>4</v>
      </c>
      <c r="AG2" s="41" t="s">
        <v>22</v>
      </c>
      <c r="AH2" s="33">
        <v>1</v>
      </c>
      <c r="AI2" s="33">
        <v>2</v>
      </c>
      <c r="AJ2" s="33">
        <v>3</v>
      </c>
      <c r="AK2" s="33">
        <v>4</v>
      </c>
      <c r="AL2" s="40" t="s">
        <v>23</v>
      </c>
      <c r="AM2" s="39">
        <v>1</v>
      </c>
      <c r="AN2" s="39">
        <v>2</v>
      </c>
      <c r="AO2" s="39">
        <v>3</v>
      </c>
      <c r="AP2" s="39">
        <v>4</v>
      </c>
      <c r="AQ2" s="40">
        <v>310</v>
      </c>
      <c r="AR2" s="33">
        <v>1</v>
      </c>
      <c r="AS2" s="33">
        <v>2</v>
      </c>
      <c r="AT2" s="33">
        <v>3</v>
      </c>
      <c r="AU2" s="33">
        <v>4</v>
      </c>
      <c r="AV2" s="42" t="s">
        <v>29</v>
      </c>
      <c r="AW2" s="57">
        <v>1</v>
      </c>
      <c r="AX2" s="57">
        <v>2</v>
      </c>
      <c r="AY2" s="57">
        <v>3</v>
      </c>
      <c r="AZ2" s="57">
        <v>4</v>
      </c>
      <c r="BA2" s="43" t="s">
        <v>30</v>
      </c>
    </row>
    <row r="3" spans="1:53">
      <c r="A3" s="110" t="s">
        <v>46</v>
      </c>
      <c r="B3" s="110"/>
      <c r="C3" s="123"/>
      <c r="D3" s="47"/>
      <c r="E3" s="47"/>
      <c r="F3" s="47"/>
      <c r="G3" s="47"/>
      <c r="H3" s="123"/>
      <c r="I3" s="47"/>
      <c r="J3" s="47"/>
      <c r="K3" s="47"/>
      <c r="L3" s="47"/>
      <c r="M3" s="31">
        <f>N3+O3+P3+Q3</f>
        <v>6096</v>
      </c>
      <c r="N3" s="34">
        <v>1524</v>
      </c>
      <c r="O3" s="34">
        <v>1524</v>
      </c>
      <c r="P3" s="34">
        <v>1524</v>
      </c>
      <c r="Q3" s="34">
        <v>1524</v>
      </c>
      <c r="R3" s="23"/>
      <c r="S3" s="49"/>
      <c r="T3" s="49"/>
      <c r="U3" s="49"/>
      <c r="V3" s="49"/>
      <c r="W3" s="20">
        <f>X3+Y3+Z3+AA3</f>
        <v>1113000</v>
      </c>
      <c r="X3" s="52">
        <v>278250</v>
      </c>
      <c r="Y3" s="52">
        <v>278250</v>
      </c>
      <c r="Z3" s="52">
        <v>278250</v>
      </c>
      <c r="AA3" s="52">
        <v>278250</v>
      </c>
      <c r="AB3" s="21">
        <f>AC3+AD3+AE3+AF3</f>
        <v>35516</v>
      </c>
      <c r="AC3" s="52">
        <v>8879</v>
      </c>
      <c r="AD3" s="52">
        <v>8879</v>
      </c>
      <c r="AE3" s="52">
        <v>8879</v>
      </c>
      <c r="AF3" s="52">
        <v>8879</v>
      </c>
      <c r="AG3" s="30">
        <f>AH3+AI3+AJ3+AK3</f>
        <v>51644</v>
      </c>
      <c r="AH3" s="47">
        <v>12911</v>
      </c>
      <c r="AI3" s="47">
        <v>12911</v>
      </c>
      <c r="AJ3" s="47">
        <v>12911</v>
      </c>
      <c r="AK3" s="47">
        <v>12911</v>
      </c>
      <c r="AL3" s="25">
        <f>AM3+AN3+AO3+AP3</f>
        <v>85000</v>
      </c>
      <c r="AM3" s="47">
        <v>21250</v>
      </c>
      <c r="AN3" s="47">
        <v>21250</v>
      </c>
      <c r="AO3" s="47">
        <v>21250</v>
      </c>
      <c r="AP3" s="47">
        <v>21250</v>
      </c>
      <c r="AQ3" s="25">
        <f>AR3+AS3+AT3+AU3</f>
        <v>5000</v>
      </c>
      <c r="AR3" s="47">
        <v>1250</v>
      </c>
      <c r="AS3" s="47">
        <v>1250</v>
      </c>
      <c r="AT3" s="47">
        <v>1250</v>
      </c>
      <c r="AU3" s="47">
        <v>1250</v>
      </c>
      <c r="AV3" s="31">
        <f>AW3+AX3+AY3+AZ3</f>
        <v>115000</v>
      </c>
      <c r="AW3" s="59">
        <v>28750</v>
      </c>
      <c r="AX3" s="59">
        <v>28750</v>
      </c>
      <c r="AY3" s="59">
        <v>28750</v>
      </c>
      <c r="AZ3" s="59">
        <v>28750</v>
      </c>
      <c r="BA3" s="15">
        <f>C3+H3+M3+R3+W3+AB3+AG3+AL3+AQ3+AV3</f>
        <v>1411256</v>
      </c>
    </row>
    <row r="4" spans="1:53">
      <c r="A4" s="110" t="s">
        <v>47</v>
      </c>
      <c r="B4" s="110"/>
      <c r="C4" s="123">
        <f>D4+E4+F4+G4</f>
        <v>167400</v>
      </c>
      <c r="D4" s="47">
        <v>41850</v>
      </c>
      <c r="E4" s="47">
        <v>41800</v>
      </c>
      <c r="F4" s="47">
        <v>41850</v>
      </c>
      <c r="G4" s="47">
        <v>41900</v>
      </c>
      <c r="H4" s="123">
        <f>I4+J4+K4+L4</f>
        <v>50555</v>
      </c>
      <c r="I4" s="47">
        <v>12638</v>
      </c>
      <c r="J4" s="47">
        <v>12589</v>
      </c>
      <c r="K4" s="47">
        <v>12638</v>
      </c>
      <c r="L4" s="47">
        <v>12690</v>
      </c>
      <c r="M4" s="31">
        <f>N4+O4+P4+Q4</f>
        <v>20400</v>
      </c>
      <c r="N4" s="34">
        <v>5100</v>
      </c>
      <c r="O4" s="34">
        <v>5100</v>
      </c>
      <c r="P4" s="34">
        <v>5100</v>
      </c>
      <c r="Q4" s="34">
        <v>5100</v>
      </c>
      <c r="R4" s="24"/>
      <c r="S4" s="49"/>
      <c r="T4" s="49"/>
      <c r="U4" s="49"/>
      <c r="V4" s="49"/>
      <c r="W4" s="20">
        <f>X4+Y4+Z4+AA4</f>
        <v>992740</v>
      </c>
      <c r="X4" s="52">
        <v>248185</v>
      </c>
      <c r="Y4" s="52">
        <v>248185</v>
      </c>
      <c r="Z4" s="52">
        <v>248185</v>
      </c>
      <c r="AA4" s="52">
        <v>248185</v>
      </c>
      <c r="AB4" s="21">
        <f>AC4+AD4+AE4+AF4</f>
        <v>37516</v>
      </c>
      <c r="AC4" s="52">
        <v>9379</v>
      </c>
      <c r="AD4" s="52">
        <v>9379</v>
      </c>
      <c r="AE4" s="52">
        <v>9379</v>
      </c>
      <c r="AF4" s="52">
        <v>9379</v>
      </c>
      <c r="AG4" s="30">
        <f>AH4+AI4+AJ4+AK4</f>
        <v>69644</v>
      </c>
      <c r="AH4" s="47">
        <v>17411</v>
      </c>
      <c r="AI4" s="47">
        <v>17411</v>
      </c>
      <c r="AJ4" s="47">
        <v>17411</v>
      </c>
      <c r="AK4" s="47">
        <v>17411</v>
      </c>
      <c r="AL4" s="25">
        <f>AM4+AN4+AO4+AP4</f>
        <v>50000</v>
      </c>
      <c r="AM4" s="47">
        <v>12500</v>
      </c>
      <c r="AN4" s="47">
        <v>12500</v>
      </c>
      <c r="AO4" s="47">
        <v>12500</v>
      </c>
      <c r="AP4" s="47">
        <v>12500</v>
      </c>
      <c r="AQ4" s="25">
        <f t="shared" ref="AQ4:AQ5" si="0">AR4+AS4+AT4+AU4</f>
        <v>5000</v>
      </c>
      <c r="AR4" s="47">
        <v>1250</v>
      </c>
      <c r="AS4" s="47">
        <v>1250</v>
      </c>
      <c r="AT4" s="47">
        <v>1250</v>
      </c>
      <c r="AU4" s="47">
        <v>1250</v>
      </c>
      <c r="AV4" s="31">
        <f>AW4+AX4+AY4+AZ4</f>
        <v>319000</v>
      </c>
      <c r="AW4" s="59">
        <v>79750</v>
      </c>
      <c r="AX4" s="59">
        <v>79750</v>
      </c>
      <c r="AY4" s="59">
        <v>79750</v>
      </c>
      <c r="AZ4" s="59">
        <v>79750</v>
      </c>
      <c r="BA4" s="15">
        <f t="shared" ref="BA4:BA24" si="1">C4+H4+M4+R4+W4+AB4+AG4+AL4+AQ4+AV4</f>
        <v>1712255</v>
      </c>
    </row>
    <row r="5" spans="1:53" ht="29.25" customHeight="1">
      <c r="A5" s="110" t="s">
        <v>48</v>
      </c>
      <c r="B5" s="110"/>
      <c r="C5" s="123"/>
      <c r="D5" s="47"/>
      <c r="E5" s="47"/>
      <c r="F5" s="47"/>
      <c r="G5" s="47"/>
      <c r="H5" s="123"/>
      <c r="I5" s="47"/>
      <c r="J5" s="47"/>
      <c r="K5" s="47"/>
      <c r="L5" s="47"/>
      <c r="M5" s="31">
        <v>0</v>
      </c>
      <c r="N5" s="34"/>
      <c r="O5" s="34"/>
      <c r="P5" s="34"/>
      <c r="Q5" s="34">
        <f t="shared" ref="Q4:Q24" si="2">M5-N5-O5-P5</f>
        <v>0</v>
      </c>
      <c r="R5" s="24"/>
      <c r="S5" s="49"/>
      <c r="T5" s="49"/>
      <c r="U5" s="49"/>
      <c r="V5" s="49"/>
      <c r="W5" s="20">
        <v>0</v>
      </c>
      <c r="X5" s="52"/>
      <c r="Y5" s="52"/>
      <c r="Z5" s="52"/>
      <c r="AA5" s="52">
        <f t="shared" ref="AA4:AA23" si="3">W5-Z5-Y5-X5</f>
        <v>0</v>
      </c>
      <c r="AB5" s="21">
        <f>AC5+AD5+AE5+AF5</f>
        <v>22800</v>
      </c>
      <c r="AC5" s="52">
        <v>5700</v>
      </c>
      <c r="AD5" s="52">
        <v>5700</v>
      </c>
      <c r="AE5" s="52">
        <v>5700</v>
      </c>
      <c r="AF5" s="52">
        <v>5700</v>
      </c>
      <c r="AG5" s="30">
        <v>0</v>
      </c>
      <c r="AH5" s="47"/>
      <c r="AI5" s="47"/>
      <c r="AJ5" s="47"/>
      <c r="AK5" s="47">
        <f t="shared" ref="AK4:AK24" si="4">AG5-AJ5-AI5-AH5</f>
        <v>0</v>
      </c>
      <c r="AL5" s="25"/>
      <c r="AM5" s="47"/>
      <c r="AN5" s="47"/>
      <c r="AO5" s="47"/>
      <c r="AP5" s="47"/>
      <c r="AQ5" s="25">
        <f t="shared" si="0"/>
        <v>0</v>
      </c>
      <c r="AR5" s="47"/>
      <c r="AS5" s="47"/>
      <c r="AT5" s="47"/>
      <c r="AU5" s="47"/>
      <c r="AV5" s="31">
        <f>AW5+AX5+AY5+AZ5</f>
        <v>2800</v>
      </c>
      <c r="AW5" s="59">
        <v>700</v>
      </c>
      <c r="AX5" s="59">
        <v>700</v>
      </c>
      <c r="AY5" s="59">
        <v>700</v>
      </c>
      <c r="AZ5" s="59">
        <v>700</v>
      </c>
      <c r="BA5" s="15">
        <f t="shared" si="1"/>
        <v>25600</v>
      </c>
    </row>
    <row r="6" spans="1:53" s="67" customFormat="1">
      <c r="A6" s="111" t="s">
        <v>53</v>
      </c>
      <c r="B6" s="111"/>
      <c r="C6" s="65">
        <f t="shared" ref="C6:L6" si="5">C4+C5</f>
        <v>167400</v>
      </c>
      <c r="D6" s="65">
        <f t="shared" si="5"/>
        <v>41850</v>
      </c>
      <c r="E6" s="65">
        <f t="shared" si="5"/>
        <v>41800</v>
      </c>
      <c r="F6" s="65">
        <f t="shared" si="5"/>
        <v>41850</v>
      </c>
      <c r="G6" s="65">
        <f t="shared" si="5"/>
        <v>41900</v>
      </c>
      <c r="H6" s="65">
        <f t="shared" ref="H6" si="6">H4+H5</f>
        <v>50555</v>
      </c>
      <c r="I6" s="65">
        <f t="shared" ref="I6" si="7">I4+I5</f>
        <v>12638</v>
      </c>
      <c r="J6" s="65">
        <f t="shared" ref="J6" si="8">J4+J5</f>
        <v>12589</v>
      </c>
      <c r="K6" s="65">
        <f t="shared" ref="K6" si="9">K4+K5</f>
        <v>12638</v>
      </c>
      <c r="L6" s="65">
        <f t="shared" ref="L6" si="10">L4+L5</f>
        <v>12690</v>
      </c>
      <c r="M6" s="65">
        <f>M4+M5</f>
        <v>20400</v>
      </c>
      <c r="N6" s="66">
        <f t="shared" ref="N6:Q6" si="11">N4+N5</f>
        <v>5100</v>
      </c>
      <c r="O6" s="66">
        <f t="shared" si="11"/>
        <v>5100</v>
      </c>
      <c r="P6" s="66">
        <f t="shared" si="11"/>
        <v>5100</v>
      </c>
      <c r="Q6" s="66">
        <f t="shared" si="11"/>
        <v>5100</v>
      </c>
      <c r="R6" s="68"/>
      <c r="S6" s="60"/>
      <c r="T6" s="60"/>
      <c r="U6" s="60"/>
      <c r="V6" s="60">
        <f t="shared" ref="V4:V23" si="12">R6-U6-T6-S6</f>
        <v>0</v>
      </c>
      <c r="W6" s="63">
        <f>W4+W5</f>
        <v>992740</v>
      </c>
      <c r="X6" s="63">
        <f t="shared" ref="X6:AA6" si="13">X4+X5</f>
        <v>248185</v>
      </c>
      <c r="Y6" s="63">
        <f t="shared" si="13"/>
        <v>248185</v>
      </c>
      <c r="Z6" s="63">
        <f t="shared" si="13"/>
        <v>248185</v>
      </c>
      <c r="AA6" s="63">
        <f t="shared" si="13"/>
        <v>248185</v>
      </c>
      <c r="AB6" s="64">
        <f>AB4+AB5</f>
        <v>60316</v>
      </c>
      <c r="AC6" s="63">
        <f>SUM(AC4:AC5)</f>
        <v>15079</v>
      </c>
      <c r="AD6" s="63">
        <f t="shared" ref="AD6:AE6" si="14">SUM(AD4:AD5)</f>
        <v>15079</v>
      </c>
      <c r="AE6" s="63">
        <f t="shared" si="14"/>
        <v>15079</v>
      </c>
      <c r="AF6" s="63">
        <f t="shared" ref="AF4:AF23" si="15">AB6-AE6-AD6-AC6</f>
        <v>15079</v>
      </c>
      <c r="AG6" s="60">
        <f>AG4+AG5</f>
        <v>69644</v>
      </c>
      <c r="AH6" s="60">
        <f t="shared" ref="AH6:AK6" si="16">AH4+AH5</f>
        <v>17411</v>
      </c>
      <c r="AI6" s="60">
        <f t="shared" si="16"/>
        <v>17411</v>
      </c>
      <c r="AJ6" s="60">
        <f t="shared" si="16"/>
        <v>17411</v>
      </c>
      <c r="AK6" s="60">
        <f t="shared" si="16"/>
        <v>17411</v>
      </c>
      <c r="AL6" s="61">
        <f>AL4+AL5</f>
        <v>50000</v>
      </c>
      <c r="AM6" s="61">
        <f t="shared" ref="AM6:AP6" si="17">AM4+AM5</f>
        <v>12500</v>
      </c>
      <c r="AN6" s="61">
        <f t="shared" si="17"/>
        <v>12500</v>
      </c>
      <c r="AO6" s="61">
        <f t="shared" si="17"/>
        <v>12500</v>
      </c>
      <c r="AP6" s="61">
        <f t="shared" si="17"/>
        <v>12500</v>
      </c>
      <c r="AQ6" s="61">
        <f>AQ4+AQ5</f>
        <v>5000</v>
      </c>
      <c r="AR6" s="61">
        <f t="shared" ref="AR6:AU6" si="18">AR4+AR5</f>
        <v>1250</v>
      </c>
      <c r="AS6" s="61">
        <f t="shared" si="18"/>
        <v>1250</v>
      </c>
      <c r="AT6" s="61">
        <f t="shared" si="18"/>
        <v>1250</v>
      </c>
      <c r="AU6" s="61">
        <f t="shared" si="18"/>
        <v>1250</v>
      </c>
      <c r="AV6" s="65">
        <f>AV4+AV5</f>
        <v>321800</v>
      </c>
      <c r="AW6" s="65">
        <f t="shared" ref="AW6:AZ6" si="19">AW4+AW5</f>
        <v>80450</v>
      </c>
      <c r="AX6" s="65">
        <f t="shared" si="19"/>
        <v>80450</v>
      </c>
      <c r="AY6" s="65">
        <f t="shared" si="19"/>
        <v>80450</v>
      </c>
      <c r="AZ6" s="65">
        <f t="shared" si="19"/>
        <v>80450</v>
      </c>
      <c r="BA6" s="15">
        <f t="shared" si="1"/>
        <v>1737855</v>
      </c>
    </row>
    <row r="7" spans="1:53">
      <c r="A7" s="110" t="s">
        <v>49</v>
      </c>
      <c r="B7" s="110"/>
      <c r="C7" s="123"/>
      <c r="D7" s="47"/>
      <c r="E7" s="47"/>
      <c r="F7" s="47"/>
      <c r="G7" s="47"/>
      <c r="H7" s="123"/>
      <c r="I7" s="47"/>
      <c r="J7" s="47"/>
      <c r="K7" s="47"/>
      <c r="L7" s="47"/>
      <c r="M7" s="31">
        <f>N7+O7+P7+Q7</f>
        <v>12180</v>
      </c>
      <c r="N7" s="34">
        <v>3045</v>
      </c>
      <c r="O7" s="34">
        <v>3045</v>
      </c>
      <c r="P7" s="34">
        <v>3045</v>
      </c>
      <c r="Q7" s="34">
        <v>3045</v>
      </c>
      <c r="R7" s="24"/>
      <c r="S7" s="49"/>
      <c r="T7" s="49"/>
      <c r="U7" s="49"/>
      <c r="V7" s="49"/>
      <c r="W7" s="20">
        <f>X7+Y7+Z7+AA7</f>
        <v>987000</v>
      </c>
      <c r="X7" s="52">
        <v>246750</v>
      </c>
      <c r="Y7" s="52">
        <v>246750</v>
      </c>
      <c r="Z7" s="52">
        <v>246750</v>
      </c>
      <c r="AA7" s="52">
        <v>246750</v>
      </c>
      <c r="AB7" s="21">
        <f>AC7+AD7+AE7+AF7</f>
        <v>35516</v>
      </c>
      <c r="AC7" s="52">
        <v>8879</v>
      </c>
      <c r="AD7" s="52">
        <v>8879</v>
      </c>
      <c r="AE7" s="52">
        <v>8879</v>
      </c>
      <c r="AF7" s="52">
        <v>8879</v>
      </c>
      <c r="AG7" s="30">
        <f>AH7+AI7+AJ7+AK7</f>
        <v>49644</v>
      </c>
      <c r="AH7" s="47">
        <v>12411</v>
      </c>
      <c r="AI7" s="47">
        <v>12411</v>
      </c>
      <c r="AJ7" s="47">
        <v>12411</v>
      </c>
      <c r="AK7" s="47">
        <v>12411</v>
      </c>
      <c r="AL7" s="25">
        <f>AM7+AN7+AO7+AP7</f>
        <v>18000</v>
      </c>
      <c r="AM7" s="47">
        <v>4500</v>
      </c>
      <c r="AN7" s="47">
        <v>4500</v>
      </c>
      <c r="AO7" s="47">
        <v>4500</v>
      </c>
      <c r="AP7" s="47">
        <v>4500</v>
      </c>
      <c r="AQ7" s="25">
        <f>AR7+AS7+AT7+AU7</f>
        <v>5000</v>
      </c>
      <c r="AR7" s="47">
        <v>1250</v>
      </c>
      <c r="AS7" s="47">
        <v>1250</v>
      </c>
      <c r="AT7" s="47">
        <v>1250</v>
      </c>
      <c r="AU7" s="47">
        <v>1250</v>
      </c>
      <c r="AV7" s="31">
        <f>AW7+AX7+AY7+AZ7</f>
        <v>91000</v>
      </c>
      <c r="AW7" s="59">
        <v>22750</v>
      </c>
      <c r="AX7" s="59">
        <v>22750</v>
      </c>
      <c r="AY7" s="59">
        <v>22750</v>
      </c>
      <c r="AZ7" s="59">
        <v>22750</v>
      </c>
      <c r="BA7" s="15">
        <f t="shared" si="1"/>
        <v>1198340</v>
      </c>
    </row>
    <row r="8" spans="1:53">
      <c r="A8" s="110" t="s">
        <v>50</v>
      </c>
      <c r="B8" s="110"/>
      <c r="C8" s="123"/>
      <c r="D8" s="47"/>
      <c r="E8" s="47"/>
      <c r="F8" s="47"/>
      <c r="G8" s="47"/>
      <c r="H8" s="123"/>
      <c r="I8" s="47"/>
      <c r="J8" s="47"/>
      <c r="K8" s="47"/>
      <c r="L8" s="47"/>
      <c r="M8" s="31">
        <f>N8+O8+P8+Q8</f>
        <v>6096</v>
      </c>
      <c r="N8" s="34">
        <v>1524</v>
      </c>
      <c r="O8" s="34">
        <v>1524</v>
      </c>
      <c r="P8" s="34">
        <v>1524</v>
      </c>
      <c r="Q8" s="34">
        <v>1524</v>
      </c>
      <c r="R8" s="24"/>
      <c r="S8" s="49"/>
      <c r="T8" s="49"/>
      <c r="U8" s="49"/>
      <c r="V8" s="49"/>
      <c r="W8" s="20">
        <f>X8+Y8+Z8+AA8</f>
        <v>1113000</v>
      </c>
      <c r="X8" s="52">
        <v>278250</v>
      </c>
      <c r="Y8" s="52">
        <v>278250</v>
      </c>
      <c r="Z8" s="52">
        <v>278250</v>
      </c>
      <c r="AA8" s="52">
        <v>278250</v>
      </c>
      <c r="AB8" s="21">
        <f>AC8+AD8+AE8+AF8</f>
        <v>35516</v>
      </c>
      <c r="AC8" s="52">
        <v>8879</v>
      </c>
      <c r="AD8" s="52">
        <v>8879</v>
      </c>
      <c r="AE8" s="52">
        <v>8879</v>
      </c>
      <c r="AF8" s="52">
        <v>8879</v>
      </c>
      <c r="AG8" s="30">
        <f>AH8+AI8+AJ8+AK8</f>
        <v>42644</v>
      </c>
      <c r="AH8" s="47">
        <v>10661</v>
      </c>
      <c r="AI8" s="47">
        <v>10661</v>
      </c>
      <c r="AJ8" s="47">
        <v>10661</v>
      </c>
      <c r="AK8" s="47">
        <v>10661</v>
      </c>
      <c r="AL8" s="25">
        <f>AM8+AN8+AO8+AP8</f>
        <v>43000</v>
      </c>
      <c r="AM8" s="47">
        <v>10750</v>
      </c>
      <c r="AN8" s="47">
        <v>10750</v>
      </c>
      <c r="AO8" s="47">
        <v>10750</v>
      </c>
      <c r="AP8" s="47">
        <v>10750</v>
      </c>
      <c r="AQ8" s="25">
        <f t="shared" ref="AQ8:AQ15" si="20">AR8+AS8+AT8+AU8</f>
        <v>5000</v>
      </c>
      <c r="AR8" s="47">
        <v>1250</v>
      </c>
      <c r="AS8" s="47">
        <v>1250</v>
      </c>
      <c r="AT8" s="47">
        <v>1250</v>
      </c>
      <c r="AU8" s="47">
        <v>1250</v>
      </c>
      <c r="AV8" s="31">
        <f>AW8+AX8+AY8+AZ8</f>
        <v>114000</v>
      </c>
      <c r="AW8" s="59">
        <v>28500</v>
      </c>
      <c r="AX8" s="59">
        <v>28500</v>
      </c>
      <c r="AY8" s="59">
        <v>28500</v>
      </c>
      <c r="AZ8" s="59">
        <v>28500</v>
      </c>
      <c r="BA8" s="15">
        <f t="shared" si="1"/>
        <v>1359256</v>
      </c>
    </row>
    <row r="9" spans="1:53">
      <c r="A9" s="110" t="s">
        <v>51</v>
      </c>
      <c r="B9" s="110"/>
      <c r="C9" s="123"/>
      <c r="D9" s="47"/>
      <c r="E9" s="47"/>
      <c r="F9" s="47"/>
      <c r="G9" s="47"/>
      <c r="H9" s="123"/>
      <c r="I9" s="47"/>
      <c r="J9" s="47"/>
      <c r="K9" s="47"/>
      <c r="L9" s="47"/>
      <c r="M9" s="31">
        <f>N9+O9+P9+Q9</f>
        <v>12000</v>
      </c>
      <c r="N9" s="34">
        <v>3000</v>
      </c>
      <c r="O9" s="34">
        <v>3000</v>
      </c>
      <c r="P9" s="34">
        <v>2975</v>
      </c>
      <c r="Q9" s="34">
        <v>3025</v>
      </c>
      <c r="R9" s="24"/>
      <c r="S9" s="51"/>
      <c r="T9" s="51"/>
      <c r="U9" s="51"/>
      <c r="V9" s="51"/>
      <c r="W9" s="20">
        <f>X9+Y9+Z9+AA9</f>
        <v>571140</v>
      </c>
      <c r="X9" s="52">
        <v>142785</v>
      </c>
      <c r="Y9" s="52">
        <v>142785</v>
      </c>
      <c r="Z9" s="52">
        <v>142785</v>
      </c>
      <c r="AA9" s="52">
        <v>142785</v>
      </c>
      <c r="AB9" s="21">
        <f>AC9+AD9+AE9+AF9</f>
        <v>35516</v>
      </c>
      <c r="AC9" s="52">
        <v>8879</v>
      </c>
      <c r="AD9" s="52">
        <v>8879</v>
      </c>
      <c r="AE9" s="52">
        <v>8879</v>
      </c>
      <c r="AF9" s="52">
        <v>8879</v>
      </c>
      <c r="AG9" s="30">
        <f>AH9+AI9+AJ9+AK9</f>
        <v>59644</v>
      </c>
      <c r="AH9" s="47">
        <v>14911</v>
      </c>
      <c r="AI9" s="47">
        <v>14911</v>
      </c>
      <c r="AJ9" s="47">
        <v>14911</v>
      </c>
      <c r="AK9" s="47">
        <v>14911</v>
      </c>
      <c r="AL9" s="25">
        <f>AM9+AN9+AO9+AP9</f>
        <v>20000</v>
      </c>
      <c r="AM9" s="47">
        <v>5000</v>
      </c>
      <c r="AN9" s="47">
        <v>5000</v>
      </c>
      <c r="AO9" s="47">
        <v>5000</v>
      </c>
      <c r="AP9" s="47">
        <v>5000</v>
      </c>
      <c r="AQ9" s="25">
        <f t="shared" si="20"/>
        <v>5000</v>
      </c>
      <c r="AR9" s="47">
        <v>1250</v>
      </c>
      <c r="AS9" s="47">
        <v>1250</v>
      </c>
      <c r="AT9" s="47">
        <v>1250</v>
      </c>
      <c r="AU9" s="47">
        <v>1250</v>
      </c>
      <c r="AV9" s="31">
        <f>AW9+AX9+AY9+AZ9</f>
        <v>111000</v>
      </c>
      <c r="AW9" s="59">
        <v>27750</v>
      </c>
      <c r="AX9" s="59">
        <v>27750</v>
      </c>
      <c r="AY9" s="59">
        <v>27750</v>
      </c>
      <c r="AZ9" s="59">
        <v>27750</v>
      </c>
      <c r="BA9" s="15">
        <f t="shared" si="1"/>
        <v>814300</v>
      </c>
    </row>
    <row r="10" spans="1:53">
      <c r="A10" s="110" t="s">
        <v>52</v>
      </c>
      <c r="B10" s="110"/>
      <c r="C10" s="123"/>
      <c r="D10" s="47"/>
      <c r="E10" s="47"/>
      <c r="F10" s="47"/>
      <c r="G10" s="47"/>
      <c r="H10" s="123"/>
      <c r="I10" s="47"/>
      <c r="J10" s="47"/>
      <c r="K10" s="47"/>
      <c r="L10" s="47"/>
      <c r="M10" s="31">
        <f>N10+O10+P10+Q10</f>
        <v>18180</v>
      </c>
      <c r="N10" s="114">
        <v>4520</v>
      </c>
      <c r="O10" s="114">
        <v>4545</v>
      </c>
      <c r="P10" s="114">
        <v>4545</v>
      </c>
      <c r="Q10" s="114">
        <v>4570</v>
      </c>
      <c r="R10" s="115"/>
      <c r="S10" s="47"/>
      <c r="T10" s="47"/>
      <c r="U10" s="47"/>
      <c r="V10" s="47"/>
      <c r="W10" s="20">
        <f>X10+Y10+Z10+AA10</f>
        <v>1032600</v>
      </c>
      <c r="X10" s="52">
        <v>258150</v>
      </c>
      <c r="Y10" s="52">
        <v>258150</v>
      </c>
      <c r="Z10" s="52">
        <v>258150</v>
      </c>
      <c r="AA10" s="52">
        <v>258150</v>
      </c>
      <c r="AB10" s="21">
        <f>AC10+AD10+AE10+AF10</f>
        <v>37516</v>
      </c>
      <c r="AC10" s="52">
        <v>9379</v>
      </c>
      <c r="AD10" s="52">
        <v>9304</v>
      </c>
      <c r="AE10" s="52">
        <v>9379</v>
      </c>
      <c r="AF10" s="52">
        <v>9454</v>
      </c>
      <c r="AG10" s="30">
        <f>AH10+AI10+AJ10+AK10</f>
        <v>57644</v>
      </c>
      <c r="AH10" s="47">
        <v>14411</v>
      </c>
      <c r="AI10" s="47">
        <v>14411</v>
      </c>
      <c r="AJ10" s="47">
        <v>14411</v>
      </c>
      <c r="AK10" s="47">
        <v>14411</v>
      </c>
      <c r="AL10" s="25">
        <f>AM10+AN10+AO10+AP10</f>
        <v>90000</v>
      </c>
      <c r="AM10" s="47">
        <v>22500</v>
      </c>
      <c r="AN10" s="47">
        <v>22500</v>
      </c>
      <c r="AO10" s="47">
        <v>22500</v>
      </c>
      <c r="AP10" s="47">
        <v>22500</v>
      </c>
      <c r="AQ10" s="25">
        <f t="shared" si="20"/>
        <v>5000</v>
      </c>
      <c r="AR10" s="47">
        <v>1250</v>
      </c>
      <c r="AS10" s="47">
        <v>1250</v>
      </c>
      <c r="AT10" s="47">
        <v>1250</v>
      </c>
      <c r="AU10" s="47">
        <v>1250</v>
      </c>
      <c r="AV10" s="31">
        <f>AW10+AX10+AY10+AZ10</f>
        <v>309000</v>
      </c>
      <c r="AW10" s="59">
        <v>77250</v>
      </c>
      <c r="AX10" s="59">
        <v>77250</v>
      </c>
      <c r="AY10" s="59">
        <v>77250</v>
      </c>
      <c r="AZ10" s="59">
        <v>77250</v>
      </c>
      <c r="BA10" s="15">
        <f t="shared" si="1"/>
        <v>1549940</v>
      </c>
    </row>
    <row r="11" spans="1:53">
      <c r="A11" s="113" t="s">
        <v>31</v>
      </c>
      <c r="B11" s="113"/>
      <c r="C11" s="123"/>
      <c r="D11" s="47"/>
      <c r="E11" s="47"/>
      <c r="F11" s="47"/>
      <c r="G11" s="47"/>
      <c r="H11" s="123"/>
      <c r="I11" s="47"/>
      <c r="J11" s="47"/>
      <c r="K11" s="47"/>
      <c r="L11" s="47"/>
      <c r="M11" s="31">
        <f>N11+O11+P11+Q11</f>
        <v>19200</v>
      </c>
      <c r="N11" s="34">
        <v>4800</v>
      </c>
      <c r="O11" s="34">
        <v>4800</v>
      </c>
      <c r="P11" s="34">
        <v>4800</v>
      </c>
      <c r="Q11" s="34">
        <v>4800</v>
      </c>
      <c r="R11" s="116">
        <f>S11+T11+U11+V11</f>
        <v>20000</v>
      </c>
      <c r="S11" s="47">
        <v>5000</v>
      </c>
      <c r="T11" s="47">
        <v>5000</v>
      </c>
      <c r="U11" s="47">
        <v>5000</v>
      </c>
      <c r="V11" s="47">
        <v>5000</v>
      </c>
      <c r="W11" s="20">
        <f>X11+Y11+Z11+AA11</f>
        <v>939000</v>
      </c>
      <c r="X11" s="52">
        <v>234750</v>
      </c>
      <c r="Y11" s="52">
        <v>234750</v>
      </c>
      <c r="Z11" s="52">
        <v>234750</v>
      </c>
      <c r="AA11" s="52">
        <v>234750</v>
      </c>
      <c r="AB11" s="21">
        <f>AC11+AD11+AE11+AF11</f>
        <v>35516</v>
      </c>
      <c r="AC11" s="52">
        <v>8804</v>
      </c>
      <c r="AD11" s="52">
        <v>8879</v>
      </c>
      <c r="AE11" s="52">
        <v>8879</v>
      </c>
      <c r="AF11" s="52">
        <v>8954</v>
      </c>
      <c r="AG11" s="30">
        <f>AH11+AI11+AJ11+AK11</f>
        <v>47644</v>
      </c>
      <c r="AH11" s="47">
        <v>11911</v>
      </c>
      <c r="AI11" s="47">
        <v>11911</v>
      </c>
      <c r="AJ11" s="47">
        <v>11911</v>
      </c>
      <c r="AK11" s="47">
        <v>11911</v>
      </c>
      <c r="AL11" s="25">
        <f>AM11+AN11+AO11+AP11</f>
        <v>45000</v>
      </c>
      <c r="AM11" s="47">
        <v>11250</v>
      </c>
      <c r="AN11" s="47">
        <v>11250</v>
      </c>
      <c r="AO11" s="47">
        <v>11250</v>
      </c>
      <c r="AP11" s="47">
        <v>11250</v>
      </c>
      <c r="AQ11" s="25">
        <f t="shared" si="20"/>
        <v>5000</v>
      </c>
      <c r="AR11" s="47">
        <v>1250</v>
      </c>
      <c r="AS11" s="47">
        <v>1250</v>
      </c>
      <c r="AT11" s="47">
        <v>1250</v>
      </c>
      <c r="AU11" s="47">
        <v>1250</v>
      </c>
      <c r="AV11" s="31">
        <f>AW11+AX11+AY11+AZ11</f>
        <v>136800</v>
      </c>
      <c r="AW11" s="59">
        <v>34200</v>
      </c>
      <c r="AX11" s="59">
        <v>34200</v>
      </c>
      <c r="AY11" s="59">
        <v>34200</v>
      </c>
      <c r="AZ11" s="59">
        <v>34200</v>
      </c>
      <c r="BA11" s="15">
        <f t="shared" si="1"/>
        <v>1248160</v>
      </c>
    </row>
    <row r="12" spans="1:53">
      <c r="A12" s="110" t="s">
        <v>32</v>
      </c>
      <c r="B12" s="110"/>
      <c r="C12" s="123"/>
      <c r="D12" s="47"/>
      <c r="E12" s="47"/>
      <c r="F12" s="47"/>
      <c r="G12" s="47"/>
      <c r="H12" s="123"/>
      <c r="I12" s="47"/>
      <c r="J12" s="47"/>
      <c r="K12" s="47"/>
      <c r="L12" s="47"/>
      <c r="M12" s="31">
        <f>N12+O12+P12+Q12</f>
        <v>6116</v>
      </c>
      <c r="N12" s="34">
        <v>1529</v>
      </c>
      <c r="O12" s="34">
        <v>1504</v>
      </c>
      <c r="P12" s="34">
        <v>1529</v>
      </c>
      <c r="Q12" s="34">
        <v>1554</v>
      </c>
      <c r="R12" s="24"/>
      <c r="S12" s="49"/>
      <c r="T12" s="49"/>
      <c r="U12" s="47"/>
      <c r="V12" s="50"/>
      <c r="W12" s="20">
        <f>X12+Y12+Z12+AA12</f>
        <v>1096200</v>
      </c>
      <c r="X12" s="52">
        <v>274050</v>
      </c>
      <c r="Y12" s="52">
        <v>274050</v>
      </c>
      <c r="Z12" s="52">
        <v>274050</v>
      </c>
      <c r="AA12" s="52">
        <v>274050</v>
      </c>
      <c r="AB12" s="21">
        <f t="shared" ref="AB12:AB16" si="21">AC12+AD12+AE12+AF12</f>
        <v>35516</v>
      </c>
      <c r="AC12" s="52">
        <v>8879</v>
      </c>
      <c r="AD12" s="52">
        <v>8879</v>
      </c>
      <c r="AE12" s="52">
        <v>8879</v>
      </c>
      <c r="AF12" s="52">
        <v>8879</v>
      </c>
      <c r="AG12" s="30">
        <f>AH12+AI12+AJ12+AK12</f>
        <v>57644</v>
      </c>
      <c r="AH12" s="47">
        <v>14411</v>
      </c>
      <c r="AI12" s="47">
        <v>14411</v>
      </c>
      <c r="AJ12" s="47">
        <v>14411</v>
      </c>
      <c r="AK12" s="47">
        <v>14411</v>
      </c>
      <c r="AL12" s="25">
        <f>AM12+AN12+AO12+AP12</f>
        <v>35000</v>
      </c>
      <c r="AM12" s="47">
        <v>8750</v>
      </c>
      <c r="AN12" s="47">
        <v>8750</v>
      </c>
      <c r="AO12" s="47">
        <v>8700</v>
      </c>
      <c r="AP12" s="47">
        <v>8800</v>
      </c>
      <c r="AQ12" s="25">
        <f t="shared" si="20"/>
        <v>5000</v>
      </c>
      <c r="AR12" s="47">
        <v>1250</v>
      </c>
      <c r="AS12" s="47">
        <v>1250</v>
      </c>
      <c r="AT12" s="47">
        <v>1250</v>
      </c>
      <c r="AU12" s="47">
        <v>1250</v>
      </c>
      <c r="AV12" s="31">
        <f>AW12+AX12+AY12+AZ12</f>
        <v>128000</v>
      </c>
      <c r="AW12" s="59">
        <v>32000</v>
      </c>
      <c r="AX12" s="59">
        <v>32000</v>
      </c>
      <c r="AY12" s="59">
        <v>32000</v>
      </c>
      <c r="AZ12" s="59">
        <v>32000</v>
      </c>
      <c r="BA12" s="15">
        <f t="shared" si="1"/>
        <v>1363476</v>
      </c>
    </row>
    <row r="13" spans="1:53">
      <c r="A13" s="110" t="s">
        <v>54</v>
      </c>
      <c r="B13" s="110"/>
      <c r="C13" s="123"/>
      <c r="D13" s="47"/>
      <c r="E13" s="47"/>
      <c r="F13" s="47"/>
      <c r="G13" s="47"/>
      <c r="H13" s="123"/>
      <c r="I13" s="47"/>
      <c r="J13" s="47"/>
      <c r="K13" s="47"/>
      <c r="L13" s="47"/>
      <c r="M13" s="31">
        <f>N13+O13+P13+Q13</f>
        <v>12240</v>
      </c>
      <c r="N13" s="34">
        <v>3060</v>
      </c>
      <c r="O13" s="34">
        <v>3060</v>
      </c>
      <c r="P13" s="34">
        <v>3060</v>
      </c>
      <c r="Q13" s="34">
        <v>3060</v>
      </c>
      <c r="R13" s="24"/>
      <c r="S13" s="49"/>
      <c r="T13" s="49"/>
      <c r="U13" s="47"/>
      <c r="V13" s="50"/>
      <c r="W13" s="20">
        <f>X13+Y13+Z13+AA13</f>
        <v>715740</v>
      </c>
      <c r="X13" s="52">
        <v>178935</v>
      </c>
      <c r="Y13" s="52">
        <v>178935</v>
      </c>
      <c r="Z13" s="52">
        <v>178935</v>
      </c>
      <c r="AA13" s="52">
        <v>178935</v>
      </c>
      <c r="AB13" s="21">
        <f t="shared" si="21"/>
        <v>35516</v>
      </c>
      <c r="AC13" s="52">
        <v>8879</v>
      </c>
      <c r="AD13" s="52">
        <v>8879</v>
      </c>
      <c r="AE13" s="52">
        <v>8804</v>
      </c>
      <c r="AF13" s="52">
        <v>8954</v>
      </c>
      <c r="AG13" s="30">
        <f>AH13+AI13+AJ13+AK13</f>
        <v>42644</v>
      </c>
      <c r="AH13" s="47">
        <v>10661</v>
      </c>
      <c r="AI13" s="47">
        <v>10661</v>
      </c>
      <c r="AJ13" s="47">
        <v>10661</v>
      </c>
      <c r="AK13" s="47">
        <v>10661</v>
      </c>
      <c r="AL13" s="25">
        <f>AM13+AN13+AO13+AP13</f>
        <v>30000</v>
      </c>
      <c r="AM13" s="47">
        <v>7500</v>
      </c>
      <c r="AN13" s="47">
        <v>7500</v>
      </c>
      <c r="AO13" s="47">
        <v>7500</v>
      </c>
      <c r="AP13" s="47">
        <v>7500</v>
      </c>
      <c r="AQ13" s="25">
        <f t="shared" si="20"/>
        <v>5000</v>
      </c>
      <c r="AR13" s="47">
        <v>1250</v>
      </c>
      <c r="AS13" s="47">
        <v>1250</v>
      </c>
      <c r="AT13" s="47">
        <v>1250</v>
      </c>
      <c r="AU13" s="47">
        <v>1250</v>
      </c>
      <c r="AV13" s="31">
        <f>AW13+AX13+AY13+AZ13</f>
        <v>218000</v>
      </c>
      <c r="AW13" s="59">
        <v>54500</v>
      </c>
      <c r="AX13" s="59">
        <v>54500</v>
      </c>
      <c r="AY13" s="59">
        <v>54500</v>
      </c>
      <c r="AZ13" s="59">
        <v>54500</v>
      </c>
      <c r="BA13" s="15">
        <f t="shared" si="1"/>
        <v>1059140</v>
      </c>
    </row>
    <row r="14" spans="1:53">
      <c r="A14" s="110" t="s">
        <v>33</v>
      </c>
      <c r="B14" s="110"/>
      <c r="C14" s="123">
        <f>D14+E14+F14+G14</f>
        <v>334800</v>
      </c>
      <c r="D14" s="47">
        <v>83700</v>
      </c>
      <c r="E14" s="47">
        <v>83700</v>
      </c>
      <c r="F14" s="47">
        <v>83700</v>
      </c>
      <c r="G14" s="47">
        <v>83700</v>
      </c>
      <c r="H14" s="123">
        <f>I14+J14+K14+L14</f>
        <v>101036</v>
      </c>
      <c r="I14" s="47">
        <v>25210</v>
      </c>
      <c r="J14" s="47">
        <v>25259</v>
      </c>
      <c r="K14" s="47">
        <v>25259</v>
      </c>
      <c r="L14" s="47">
        <v>25308</v>
      </c>
      <c r="M14" s="31">
        <f>N14+O14+P14+Q14</f>
        <v>33600</v>
      </c>
      <c r="N14" s="34">
        <v>8400</v>
      </c>
      <c r="O14" s="34">
        <v>8400</v>
      </c>
      <c r="P14" s="34">
        <v>8400</v>
      </c>
      <c r="Q14" s="34">
        <v>8400</v>
      </c>
      <c r="R14" s="24"/>
      <c r="S14" s="49"/>
      <c r="T14" s="49"/>
      <c r="U14" s="47"/>
      <c r="V14" s="50"/>
      <c r="W14" s="20">
        <f>X14+Y14+Z14+AA14</f>
        <v>1182400</v>
      </c>
      <c r="X14" s="52">
        <v>295600</v>
      </c>
      <c r="Y14" s="52">
        <v>295600</v>
      </c>
      <c r="Z14" s="52">
        <v>295600</v>
      </c>
      <c r="AA14" s="52">
        <v>295600</v>
      </c>
      <c r="AB14" s="21">
        <f t="shared" si="21"/>
        <v>39516</v>
      </c>
      <c r="AC14" s="52">
        <v>9879</v>
      </c>
      <c r="AD14" s="52">
        <v>9879</v>
      </c>
      <c r="AE14" s="52">
        <v>9879</v>
      </c>
      <c r="AF14" s="52">
        <v>9879</v>
      </c>
      <c r="AG14" s="30">
        <f>AH14+AI14+AJ14+AK14</f>
        <v>57644</v>
      </c>
      <c r="AH14" s="47">
        <v>14411</v>
      </c>
      <c r="AI14" s="47">
        <v>14411</v>
      </c>
      <c r="AJ14" s="47">
        <v>14411</v>
      </c>
      <c r="AK14" s="47">
        <v>14411</v>
      </c>
      <c r="AL14" s="25">
        <f>AM14+AN14+AO14+AP14</f>
        <v>109000</v>
      </c>
      <c r="AM14" s="47">
        <v>27250</v>
      </c>
      <c r="AN14" s="47">
        <v>27200</v>
      </c>
      <c r="AO14" s="47">
        <v>27250</v>
      </c>
      <c r="AP14" s="47">
        <v>27300</v>
      </c>
      <c r="AQ14" s="25">
        <f t="shared" si="20"/>
        <v>5000</v>
      </c>
      <c r="AR14" s="47">
        <v>1250</v>
      </c>
      <c r="AS14" s="47">
        <v>1250</v>
      </c>
      <c r="AT14" s="47">
        <v>1250</v>
      </c>
      <c r="AU14" s="47">
        <v>1250</v>
      </c>
      <c r="AV14" s="31">
        <f>AW14+AX14+AY14+AZ14</f>
        <v>633000</v>
      </c>
      <c r="AW14" s="59">
        <v>158250</v>
      </c>
      <c r="AX14" s="59">
        <v>158250</v>
      </c>
      <c r="AY14" s="59">
        <v>158250</v>
      </c>
      <c r="AZ14" s="59">
        <v>158250</v>
      </c>
      <c r="BA14" s="15">
        <f t="shared" si="1"/>
        <v>2495996</v>
      </c>
    </row>
    <row r="15" spans="1:53">
      <c r="A15" s="110" t="s">
        <v>34</v>
      </c>
      <c r="B15" s="110"/>
      <c r="C15" s="123">
        <f>D15+E15+F15+G15</f>
        <v>167400</v>
      </c>
      <c r="D15" s="47">
        <v>41850</v>
      </c>
      <c r="E15" s="47">
        <v>41850</v>
      </c>
      <c r="F15" s="47">
        <v>41800</v>
      </c>
      <c r="G15" s="47">
        <v>41900</v>
      </c>
      <c r="H15" s="123">
        <f>I15+J15+K15+L15</f>
        <v>50545</v>
      </c>
      <c r="I15" s="47">
        <v>12636</v>
      </c>
      <c r="J15" s="47">
        <v>12636</v>
      </c>
      <c r="K15" s="47">
        <v>12587</v>
      </c>
      <c r="L15" s="47">
        <v>12686</v>
      </c>
      <c r="M15" s="31">
        <f>N15+O15+P15+Q15</f>
        <v>12000</v>
      </c>
      <c r="N15" s="34">
        <v>3000</v>
      </c>
      <c r="O15" s="34">
        <v>3000</v>
      </c>
      <c r="P15" s="34">
        <v>3000</v>
      </c>
      <c r="Q15" s="34">
        <v>3000</v>
      </c>
      <c r="R15" s="24"/>
      <c r="S15" s="49"/>
      <c r="T15" s="49"/>
      <c r="U15" s="47"/>
      <c r="V15" s="50"/>
      <c r="W15" s="20">
        <f>X15+Y15+Z15+AA15</f>
        <v>927000</v>
      </c>
      <c r="X15" s="52">
        <v>231750</v>
      </c>
      <c r="Y15" s="52">
        <v>231750</v>
      </c>
      <c r="Z15" s="52">
        <v>231750</v>
      </c>
      <c r="AA15" s="52">
        <v>231750</v>
      </c>
      <c r="AB15" s="21">
        <f t="shared" si="21"/>
        <v>37516</v>
      </c>
      <c r="AC15" s="52">
        <v>9379</v>
      </c>
      <c r="AD15" s="52">
        <v>9379</v>
      </c>
      <c r="AE15" s="52">
        <v>9379</v>
      </c>
      <c r="AF15" s="52">
        <v>9379</v>
      </c>
      <c r="AG15" s="30">
        <f>AH15+AI15+AJ15+AK15</f>
        <v>46144</v>
      </c>
      <c r="AH15" s="47">
        <v>11536</v>
      </c>
      <c r="AI15" s="47">
        <v>11536</v>
      </c>
      <c r="AJ15" s="47">
        <v>11536</v>
      </c>
      <c r="AK15" s="47">
        <v>11536</v>
      </c>
      <c r="AL15" s="25">
        <f>AM15+AN15+AO15+AP15</f>
        <v>1000</v>
      </c>
      <c r="AM15" s="47">
        <v>250</v>
      </c>
      <c r="AN15" s="47">
        <v>250</v>
      </c>
      <c r="AO15" s="47">
        <v>250</v>
      </c>
      <c r="AP15" s="47">
        <v>250</v>
      </c>
      <c r="AQ15" s="25">
        <f t="shared" si="20"/>
        <v>5000</v>
      </c>
      <c r="AR15" s="47">
        <v>1250</v>
      </c>
      <c r="AS15" s="47">
        <v>1250</v>
      </c>
      <c r="AT15" s="47">
        <v>1250</v>
      </c>
      <c r="AU15" s="47">
        <v>1250</v>
      </c>
      <c r="AV15" s="31">
        <f>AW15+AX15+AY15+AZ15</f>
        <v>621000</v>
      </c>
      <c r="AW15" s="59">
        <v>155250</v>
      </c>
      <c r="AX15" s="59">
        <v>155250</v>
      </c>
      <c r="AY15" s="59">
        <v>155250</v>
      </c>
      <c r="AZ15" s="59">
        <v>155250</v>
      </c>
      <c r="BA15" s="15">
        <f t="shared" si="1"/>
        <v>1867605</v>
      </c>
    </row>
    <row r="16" spans="1:53" ht="25.5" customHeight="1">
      <c r="A16" s="110" t="s">
        <v>35</v>
      </c>
      <c r="B16" s="110"/>
      <c r="C16" s="123"/>
      <c r="D16" s="47"/>
      <c r="E16" s="47"/>
      <c r="F16" s="47"/>
      <c r="G16" s="47"/>
      <c r="H16" s="123"/>
      <c r="I16" s="47"/>
      <c r="J16" s="47"/>
      <c r="K16" s="47"/>
      <c r="L16" s="47"/>
      <c r="M16" s="31">
        <f>N16+O16+P16+Q16</f>
        <v>6000</v>
      </c>
      <c r="N16" s="34">
        <v>1500</v>
      </c>
      <c r="O16" s="34">
        <v>1500</v>
      </c>
      <c r="P16" s="34">
        <v>1500</v>
      </c>
      <c r="Q16" s="34">
        <v>1500</v>
      </c>
      <c r="R16" s="24"/>
      <c r="S16" s="49"/>
      <c r="T16" s="49"/>
      <c r="U16" s="47"/>
      <c r="V16" s="50"/>
      <c r="W16" s="20">
        <f>X16+Y16+Z16+AA16</f>
        <v>915000</v>
      </c>
      <c r="X16" s="52">
        <v>228750</v>
      </c>
      <c r="Y16" s="52">
        <v>228750</v>
      </c>
      <c r="Z16" s="52">
        <v>228750</v>
      </c>
      <c r="AA16" s="52">
        <v>228750</v>
      </c>
      <c r="AB16" s="21">
        <f t="shared" si="21"/>
        <v>33476</v>
      </c>
      <c r="AC16" s="52">
        <v>8369</v>
      </c>
      <c r="AD16" s="52">
        <v>8369</v>
      </c>
      <c r="AE16" s="52">
        <v>8369</v>
      </c>
      <c r="AF16" s="52">
        <v>8369</v>
      </c>
      <c r="AG16" s="30">
        <f>AH16+AI16+AJ16+AK16</f>
        <v>35684</v>
      </c>
      <c r="AH16" s="47">
        <v>8921</v>
      </c>
      <c r="AI16" s="47">
        <v>8921</v>
      </c>
      <c r="AJ16" s="47">
        <v>8921</v>
      </c>
      <c r="AK16" s="47">
        <v>8921</v>
      </c>
      <c r="AL16" s="25"/>
      <c r="AM16" s="47"/>
      <c r="AN16" s="47"/>
      <c r="AO16" s="47"/>
      <c r="AP16" s="47">
        <f t="shared" ref="AP16:AP19" si="22">AL16-AO16-AN16-AM16</f>
        <v>0</v>
      </c>
      <c r="AQ16" s="25"/>
      <c r="AR16" s="47"/>
      <c r="AS16" s="47"/>
      <c r="AT16" s="47"/>
      <c r="AU16" s="47"/>
      <c r="AV16" s="31">
        <f>AW16+AX16+AY16+AZ16</f>
        <v>7000</v>
      </c>
      <c r="AW16" s="59">
        <v>1750</v>
      </c>
      <c r="AX16" s="59">
        <v>1750</v>
      </c>
      <c r="AY16" s="59">
        <v>1750</v>
      </c>
      <c r="AZ16" s="59">
        <v>1750</v>
      </c>
      <c r="BA16" s="15">
        <f t="shared" si="1"/>
        <v>997160</v>
      </c>
    </row>
    <row r="17" spans="1:53" s="67" customFormat="1">
      <c r="A17" s="111" t="s">
        <v>36</v>
      </c>
      <c r="B17" s="111"/>
      <c r="C17" s="65">
        <f t="shared" ref="C17:L17" si="23">C15+C16</f>
        <v>167400</v>
      </c>
      <c r="D17" s="65">
        <f t="shared" si="23"/>
        <v>41850</v>
      </c>
      <c r="E17" s="65">
        <f t="shared" si="23"/>
        <v>41850</v>
      </c>
      <c r="F17" s="65">
        <f t="shared" si="23"/>
        <v>41800</v>
      </c>
      <c r="G17" s="65">
        <f t="shared" si="23"/>
        <v>41900</v>
      </c>
      <c r="H17" s="65">
        <f>H15+H16</f>
        <v>50545</v>
      </c>
      <c r="I17" s="65">
        <f t="shared" ref="I17:L17" si="24">I15+I16</f>
        <v>12636</v>
      </c>
      <c r="J17" s="65">
        <f t="shared" si="24"/>
        <v>12636</v>
      </c>
      <c r="K17" s="65">
        <f t="shared" si="24"/>
        <v>12587</v>
      </c>
      <c r="L17" s="65">
        <f t="shared" si="24"/>
        <v>12686</v>
      </c>
      <c r="M17" s="65">
        <f>M15+M16</f>
        <v>18000</v>
      </c>
      <c r="N17" s="66">
        <f t="shared" ref="N17:Q17" si="25">N15+N16</f>
        <v>4500</v>
      </c>
      <c r="O17" s="66">
        <f t="shared" si="25"/>
        <v>4500</v>
      </c>
      <c r="P17" s="66">
        <f t="shared" si="25"/>
        <v>4500</v>
      </c>
      <c r="Q17" s="66">
        <f t="shared" si="25"/>
        <v>4500</v>
      </c>
      <c r="R17" s="68"/>
      <c r="S17" s="60"/>
      <c r="T17" s="60"/>
      <c r="U17" s="61"/>
      <c r="V17" s="62"/>
      <c r="W17" s="63">
        <f>W15+W16</f>
        <v>1842000</v>
      </c>
      <c r="X17" s="63">
        <f t="shared" ref="X17:AA17" si="26">X15+X16</f>
        <v>460500</v>
      </c>
      <c r="Y17" s="63">
        <f t="shared" si="26"/>
        <v>460500</v>
      </c>
      <c r="Z17" s="63">
        <f t="shared" si="26"/>
        <v>460500</v>
      </c>
      <c r="AA17" s="63">
        <f t="shared" si="26"/>
        <v>460500</v>
      </c>
      <c r="AB17" s="64">
        <f>AB15+AB16</f>
        <v>70992</v>
      </c>
      <c r="AC17" s="64">
        <f t="shared" ref="AC17:AF17" si="27">AC15+AC16</f>
        <v>17748</v>
      </c>
      <c r="AD17" s="64">
        <f t="shared" si="27"/>
        <v>17748</v>
      </c>
      <c r="AE17" s="64">
        <f t="shared" si="27"/>
        <v>17748</v>
      </c>
      <c r="AF17" s="64">
        <f t="shared" si="27"/>
        <v>17748</v>
      </c>
      <c r="AG17" s="60">
        <f>AG15+AG16</f>
        <v>81828</v>
      </c>
      <c r="AH17" s="60">
        <f t="shared" ref="AH17:AK17" si="28">AH15+AH16</f>
        <v>20457</v>
      </c>
      <c r="AI17" s="60">
        <f t="shared" si="28"/>
        <v>20457</v>
      </c>
      <c r="AJ17" s="60">
        <f t="shared" si="28"/>
        <v>20457</v>
      </c>
      <c r="AK17" s="60">
        <f t="shared" si="28"/>
        <v>20457</v>
      </c>
      <c r="AL17" s="61">
        <f>AL15+AL16</f>
        <v>1000</v>
      </c>
      <c r="AM17" s="61">
        <f t="shared" ref="AM17:AP17" si="29">AM15+AM16</f>
        <v>250</v>
      </c>
      <c r="AN17" s="61">
        <f t="shared" si="29"/>
        <v>250</v>
      </c>
      <c r="AO17" s="61">
        <f t="shared" si="29"/>
        <v>250</v>
      </c>
      <c r="AP17" s="61">
        <f t="shared" si="29"/>
        <v>250</v>
      </c>
      <c r="AQ17" s="61">
        <f>AQ15+AQ16</f>
        <v>5000</v>
      </c>
      <c r="AR17" s="61">
        <f t="shared" ref="AR17:AU17" si="30">AR15+AR16</f>
        <v>1250</v>
      </c>
      <c r="AS17" s="61">
        <f t="shared" si="30"/>
        <v>1250</v>
      </c>
      <c r="AT17" s="61">
        <f t="shared" si="30"/>
        <v>1250</v>
      </c>
      <c r="AU17" s="61">
        <f t="shared" si="30"/>
        <v>1250</v>
      </c>
      <c r="AV17" s="65">
        <f>AV15+AV16</f>
        <v>628000</v>
      </c>
      <c r="AW17" s="65">
        <f t="shared" ref="AW17:AZ17" si="31">AW15+AW16</f>
        <v>157000</v>
      </c>
      <c r="AX17" s="65">
        <f t="shared" si="31"/>
        <v>157000</v>
      </c>
      <c r="AY17" s="65">
        <f t="shared" si="31"/>
        <v>157000</v>
      </c>
      <c r="AZ17" s="65">
        <f t="shared" si="31"/>
        <v>157000</v>
      </c>
      <c r="BA17" s="15">
        <f t="shared" si="1"/>
        <v>2864765</v>
      </c>
    </row>
    <row r="18" spans="1:53">
      <c r="A18" s="110" t="s">
        <v>37</v>
      </c>
      <c r="B18" s="110"/>
      <c r="C18" s="123">
        <f>D18+E18+F18+G18</f>
        <v>502200</v>
      </c>
      <c r="D18" s="47">
        <v>125500</v>
      </c>
      <c r="E18" s="47">
        <v>125550</v>
      </c>
      <c r="F18" s="47">
        <v>125550</v>
      </c>
      <c r="G18" s="47">
        <v>125600</v>
      </c>
      <c r="H18" s="123">
        <f>I18+J18+K18+L18</f>
        <v>151664</v>
      </c>
      <c r="I18" s="47">
        <v>37916</v>
      </c>
      <c r="J18" s="47">
        <v>37916</v>
      </c>
      <c r="K18" s="47">
        <v>37916</v>
      </c>
      <c r="L18" s="47">
        <f>37917-1</f>
        <v>37916</v>
      </c>
      <c r="M18" s="31">
        <f>N18+O18+P18+Q18</f>
        <v>24180</v>
      </c>
      <c r="N18" s="34">
        <v>6045</v>
      </c>
      <c r="O18" s="34">
        <v>6045</v>
      </c>
      <c r="P18" s="34">
        <v>6045</v>
      </c>
      <c r="Q18" s="34">
        <v>6045</v>
      </c>
      <c r="R18" s="24"/>
      <c r="S18" s="49"/>
      <c r="T18" s="49"/>
      <c r="U18" s="47"/>
      <c r="V18" s="50"/>
      <c r="W18" s="20">
        <f>X18+Y18+Z18+AA18</f>
        <v>2114400</v>
      </c>
      <c r="X18" s="52">
        <v>528600</v>
      </c>
      <c r="Y18" s="52">
        <v>528600</v>
      </c>
      <c r="Z18" s="52">
        <v>528600</v>
      </c>
      <c r="AA18" s="52">
        <v>528600</v>
      </c>
      <c r="AB18" s="21">
        <f>AC18+AD18+AE18+AF18</f>
        <v>39516</v>
      </c>
      <c r="AC18" s="52">
        <v>9879</v>
      </c>
      <c r="AD18" s="52">
        <v>9879</v>
      </c>
      <c r="AE18" s="52">
        <v>9879</v>
      </c>
      <c r="AF18" s="52">
        <v>9879</v>
      </c>
      <c r="AG18" s="30">
        <f>AH18+AI18+AJ18+AK18</f>
        <v>89644</v>
      </c>
      <c r="AH18" s="47">
        <v>22411</v>
      </c>
      <c r="AI18" s="47">
        <v>22411</v>
      </c>
      <c r="AJ18" s="47">
        <v>22411</v>
      </c>
      <c r="AK18" s="47">
        <v>22411</v>
      </c>
      <c r="AL18" s="25">
        <f>AM18+AN18+AO18+AP18</f>
        <v>105000</v>
      </c>
      <c r="AM18" s="47">
        <v>26200</v>
      </c>
      <c r="AN18" s="47">
        <v>26250</v>
      </c>
      <c r="AO18" s="47">
        <v>26250</v>
      </c>
      <c r="AP18" s="47">
        <v>26300</v>
      </c>
      <c r="AQ18" s="25">
        <v>5000</v>
      </c>
      <c r="AR18" s="47">
        <v>1250</v>
      </c>
      <c r="AS18" s="47">
        <v>1250</v>
      </c>
      <c r="AT18" s="47">
        <v>1250</v>
      </c>
      <c r="AU18" s="47">
        <v>1250</v>
      </c>
      <c r="AV18" s="31">
        <f>AW18+AX18+AY18+AZ18</f>
        <v>396000</v>
      </c>
      <c r="AW18" s="59">
        <v>99000</v>
      </c>
      <c r="AX18" s="59">
        <v>99000</v>
      </c>
      <c r="AY18" s="59">
        <v>99000</v>
      </c>
      <c r="AZ18" s="59">
        <v>99000</v>
      </c>
      <c r="BA18" s="15">
        <f t="shared" si="1"/>
        <v>3427604</v>
      </c>
    </row>
    <row r="19" spans="1:53" ht="29.25" customHeight="1">
      <c r="A19" s="110" t="s">
        <v>38</v>
      </c>
      <c r="B19" s="110"/>
      <c r="C19" s="123"/>
      <c r="D19" s="47"/>
      <c r="E19" s="47"/>
      <c r="F19" s="47"/>
      <c r="G19" s="47"/>
      <c r="H19" s="123"/>
      <c r="I19" s="47"/>
      <c r="J19" s="47"/>
      <c r="K19" s="47"/>
      <c r="L19" s="47"/>
      <c r="M19" s="31">
        <v>0</v>
      </c>
      <c r="N19" s="34"/>
      <c r="O19" s="34"/>
      <c r="P19" s="34"/>
      <c r="Q19" s="47">
        <f t="shared" si="2"/>
        <v>0</v>
      </c>
      <c r="R19" s="24"/>
      <c r="S19" s="49"/>
      <c r="T19" s="49"/>
      <c r="U19" s="47"/>
      <c r="V19" s="50"/>
      <c r="W19" s="20">
        <f>X19+Y19+Z19+AA19</f>
        <v>156240</v>
      </c>
      <c r="X19" s="52">
        <v>39060</v>
      </c>
      <c r="Y19" s="52">
        <v>39060</v>
      </c>
      <c r="Z19" s="52">
        <v>39060</v>
      </c>
      <c r="AA19" s="52">
        <v>39060</v>
      </c>
      <c r="AB19" s="21"/>
      <c r="AC19" s="52"/>
      <c r="AD19" s="52"/>
      <c r="AE19" s="52"/>
      <c r="AF19" s="52"/>
      <c r="AG19" s="30">
        <v>0</v>
      </c>
      <c r="AH19" s="47"/>
      <c r="AI19" s="47"/>
      <c r="AJ19" s="47"/>
      <c r="AK19" s="47">
        <f t="shared" si="4"/>
        <v>0</v>
      </c>
      <c r="AL19" s="25"/>
      <c r="AM19" s="47"/>
      <c r="AN19" s="47"/>
      <c r="AO19" s="47"/>
      <c r="AP19" s="47">
        <f t="shared" si="22"/>
        <v>0</v>
      </c>
      <c r="AQ19" s="25"/>
      <c r="AR19" s="47"/>
      <c r="AS19" s="47"/>
      <c r="AT19" s="47"/>
      <c r="AU19" s="47"/>
      <c r="AV19" s="31"/>
      <c r="AW19" s="59"/>
      <c r="AX19" s="59"/>
      <c r="AY19" s="59"/>
      <c r="AZ19" s="59"/>
      <c r="BA19" s="15">
        <f t="shared" si="1"/>
        <v>156240</v>
      </c>
    </row>
    <row r="20" spans="1:53" s="67" customFormat="1">
      <c r="A20" s="111" t="s">
        <v>39</v>
      </c>
      <c r="B20" s="111"/>
      <c r="C20" s="65">
        <f t="shared" ref="C20:L20" si="32">C18+C19</f>
        <v>502200</v>
      </c>
      <c r="D20" s="65">
        <f t="shared" si="32"/>
        <v>125500</v>
      </c>
      <c r="E20" s="65">
        <f t="shared" si="32"/>
        <v>125550</v>
      </c>
      <c r="F20" s="65">
        <f t="shared" si="32"/>
        <v>125550</v>
      </c>
      <c r="G20" s="65">
        <f t="shared" si="32"/>
        <v>125600</v>
      </c>
      <c r="H20" s="65">
        <f t="shared" si="32"/>
        <v>151664</v>
      </c>
      <c r="I20" s="65">
        <f t="shared" si="32"/>
        <v>37916</v>
      </c>
      <c r="J20" s="65">
        <f t="shared" si="32"/>
        <v>37916</v>
      </c>
      <c r="K20" s="65">
        <f t="shared" si="32"/>
        <v>37916</v>
      </c>
      <c r="L20" s="65">
        <f>L18+L19</f>
        <v>37916</v>
      </c>
      <c r="M20" s="65">
        <f>M18+M19</f>
        <v>24180</v>
      </c>
      <c r="N20" s="66">
        <f t="shared" ref="N20:Q20" si="33">N18+N19</f>
        <v>6045</v>
      </c>
      <c r="O20" s="66">
        <f t="shared" si="33"/>
        <v>6045</v>
      </c>
      <c r="P20" s="66">
        <f t="shared" si="33"/>
        <v>6045</v>
      </c>
      <c r="Q20" s="66">
        <f t="shared" si="33"/>
        <v>6045</v>
      </c>
      <c r="R20" s="68"/>
      <c r="S20" s="60"/>
      <c r="T20" s="60"/>
      <c r="U20" s="61"/>
      <c r="V20" s="62"/>
      <c r="W20" s="63">
        <f>W18+W19</f>
        <v>2270640</v>
      </c>
      <c r="X20" s="63">
        <f t="shared" ref="X20:AA20" si="34">X18+X19</f>
        <v>567660</v>
      </c>
      <c r="Y20" s="63">
        <f t="shared" si="34"/>
        <v>567660</v>
      </c>
      <c r="Z20" s="63">
        <f t="shared" si="34"/>
        <v>567660</v>
      </c>
      <c r="AA20" s="63">
        <f t="shared" si="34"/>
        <v>567660</v>
      </c>
      <c r="AB20" s="64">
        <f>AB18+AB19</f>
        <v>39516</v>
      </c>
      <c r="AC20" s="64">
        <f t="shared" ref="AC20:AF20" si="35">AC18+AC19</f>
        <v>9879</v>
      </c>
      <c r="AD20" s="64">
        <f t="shared" si="35"/>
        <v>9879</v>
      </c>
      <c r="AE20" s="64">
        <f t="shared" si="35"/>
        <v>9879</v>
      </c>
      <c r="AF20" s="64">
        <f t="shared" si="35"/>
        <v>9879</v>
      </c>
      <c r="AG20" s="60">
        <f>AG18+AG19</f>
        <v>89644</v>
      </c>
      <c r="AH20" s="60">
        <f t="shared" ref="AH20:AK20" si="36">AH18+AH19</f>
        <v>22411</v>
      </c>
      <c r="AI20" s="60">
        <f t="shared" si="36"/>
        <v>22411</v>
      </c>
      <c r="AJ20" s="60">
        <f t="shared" si="36"/>
        <v>22411</v>
      </c>
      <c r="AK20" s="60">
        <f t="shared" si="36"/>
        <v>22411</v>
      </c>
      <c r="AL20" s="61">
        <f>AL18+AL19</f>
        <v>105000</v>
      </c>
      <c r="AM20" s="61">
        <f t="shared" ref="AM20:AP20" si="37">AM18+AM19</f>
        <v>26200</v>
      </c>
      <c r="AN20" s="61">
        <f t="shared" si="37"/>
        <v>26250</v>
      </c>
      <c r="AO20" s="61">
        <f t="shared" si="37"/>
        <v>26250</v>
      </c>
      <c r="AP20" s="61">
        <f t="shared" si="37"/>
        <v>26300</v>
      </c>
      <c r="AQ20" s="61">
        <f>AQ18+AQ19</f>
        <v>5000</v>
      </c>
      <c r="AR20" s="61">
        <f t="shared" ref="AR20:AU20" si="38">SUM(AR18:AR19)</f>
        <v>1250</v>
      </c>
      <c r="AS20" s="61">
        <f t="shared" si="38"/>
        <v>1250</v>
      </c>
      <c r="AT20" s="61">
        <f t="shared" si="38"/>
        <v>1250</v>
      </c>
      <c r="AU20" s="61">
        <f t="shared" si="38"/>
        <v>1250</v>
      </c>
      <c r="AV20" s="65">
        <f>AV18+AV19</f>
        <v>396000</v>
      </c>
      <c r="AW20" s="65">
        <f t="shared" ref="AW20:AZ20" si="39">AW18+AW19</f>
        <v>99000</v>
      </c>
      <c r="AX20" s="65">
        <f t="shared" si="39"/>
        <v>99000</v>
      </c>
      <c r="AY20" s="65">
        <f t="shared" si="39"/>
        <v>99000</v>
      </c>
      <c r="AZ20" s="65">
        <f t="shared" si="39"/>
        <v>99000</v>
      </c>
      <c r="BA20" s="15">
        <f t="shared" si="1"/>
        <v>3583844</v>
      </c>
    </row>
    <row r="21" spans="1:53">
      <c r="A21" s="110" t="s">
        <v>40</v>
      </c>
      <c r="B21" s="110"/>
      <c r="C21" s="123"/>
      <c r="D21" s="47"/>
      <c r="E21" s="47"/>
      <c r="F21" s="47"/>
      <c r="G21" s="47"/>
      <c r="H21" s="123"/>
      <c r="I21" s="47"/>
      <c r="J21" s="47"/>
      <c r="K21" s="47"/>
      <c r="L21" s="47"/>
      <c r="M21" s="31">
        <f>N21+O21+P21+Q21</f>
        <v>11052</v>
      </c>
      <c r="N21" s="34">
        <v>2763</v>
      </c>
      <c r="O21" s="34">
        <v>2763</v>
      </c>
      <c r="P21" s="34">
        <v>2763</v>
      </c>
      <c r="Q21" s="34">
        <v>2763</v>
      </c>
      <c r="R21" s="24"/>
      <c r="S21" s="49"/>
      <c r="T21" s="49"/>
      <c r="U21" s="47"/>
      <c r="V21" s="50"/>
      <c r="W21" s="20">
        <f>X21+Y21+Z21+AA21</f>
        <v>1535200</v>
      </c>
      <c r="X21" s="52">
        <v>383800</v>
      </c>
      <c r="Y21" s="52">
        <v>383800</v>
      </c>
      <c r="Z21" s="52">
        <v>383800</v>
      </c>
      <c r="AA21" s="52">
        <v>383800</v>
      </c>
      <c r="AB21" s="21">
        <f>AC21+AD21+AE21+AF21</f>
        <v>65516</v>
      </c>
      <c r="AC21" s="52">
        <v>16379</v>
      </c>
      <c r="AD21" s="52">
        <v>16379</v>
      </c>
      <c r="AE21" s="52">
        <v>16379</v>
      </c>
      <c r="AF21" s="52">
        <v>16379</v>
      </c>
      <c r="AG21" s="30">
        <f>AH21+AI21+AJ21+AK21</f>
        <v>137644</v>
      </c>
      <c r="AH21" s="47">
        <v>34411</v>
      </c>
      <c r="AI21" s="47">
        <v>34411</v>
      </c>
      <c r="AJ21" s="47">
        <v>34411</v>
      </c>
      <c r="AK21" s="47">
        <v>34411</v>
      </c>
      <c r="AL21" s="25">
        <f>AM21+AN21+AO21+AP21</f>
        <v>250000</v>
      </c>
      <c r="AM21" s="47">
        <v>62500</v>
      </c>
      <c r="AN21" s="47">
        <v>62500</v>
      </c>
      <c r="AO21" s="47">
        <v>62500</v>
      </c>
      <c r="AP21" s="47">
        <v>62500</v>
      </c>
      <c r="AQ21" s="25">
        <v>50000</v>
      </c>
      <c r="AR21" s="47">
        <v>12500</v>
      </c>
      <c r="AS21" s="47">
        <v>12500</v>
      </c>
      <c r="AT21" s="47">
        <v>12500</v>
      </c>
      <c r="AU21" s="47">
        <v>12500</v>
      </c>
      <c r="AV21" s="31">
        <f>AW21+AX21+AY21+AZ21</f>
        <v>302000</v>
      </c>
      <c r="AW21" s="59">
        <v>75500</v>
      </c>
      <c r="AX21" s="59">
        <v>75500</v>
      </c>
      <c r="AY21" s="59">
        <v>75500</v>
      </c>
      <c r="AZ21" s="59">
        <v>75500</v>
      </c>
      <c r="BA21" s="15">
        <f t="shared" si="1"/>
        <v>2351412</v>
      </c>
    </row>
    <row r="22" spans="1:53" ht="23.25" customHeight="1">
      <c r="A22" s="110" t="s">
        <v>41</v>
      </c>
      <c r="B22" s="110"/>
      <c r="C22" s="123"/>
      <c r="D22" s="47"/>
      <c r="E22" s="47"/>
      <c r="F22" s="47"/>
      <c r="G22" s="47"/>
      <c r="H22" s="123"/>
      <c r="I22" s="47"/>
      <c r="J22" s="47"/>
      <c r="K22" s="47"/>
      <c r="L22" s="47"/>
      <c r="M22" s="31">
        <f>N22+O22+P22+Q22</f>
        <v>5160</v>
      </c>
      <c r="N22" s="34">
        <v>1290</v>
      </c>
      <c r="O22" s="34">
        <v>1290</v>
      </c>
      <c r="P22" s="34">
        <v>1290</v>
      </c>
      <c r="Q22" s="34">
        <v>1290</v>
      </c>
      <c r="R22" s="24"/>
      <c r="S22" s="49"/>
      <c r="T22" s="49"/>
      <c r="U22" s="47"/>
      <c r="V22" s="50"/>
      <c r="W22" s="20">
        <f>X22+Y22+Z22+AA22</f>
        <v>673740</v>
      </c>
      <c r="X22" s="52">
        <v>168435</v>
      </c>
      <c r="Y22" s="52">
        <v>168435</v>
      </c>
      <c r="Z22" s="52">
        <v>168435</v>
      </c>
      <c r="AA22" s="52">
        <v>168435</v>
      </c>
      <c r="AB22" s="21">
        <f>AC22+AD22+AE22+AF22</f>
        <v>35516</v>
      </c>
      <c r="AC22" s="52">
        <v>8879</v>
      </c>
      <c r="AD22" s="52">
        <v>8879</v>
      </c>
      <c r="AE22" s="52">
        <v>8879</v>
      </c>
      <c r="AF22" s="52">
        <v>8879</v>
      </c>
      <c r="AG22" s="30">
        <f>AH22+AI22+AJ22+AK22</f>
        <v>17644</v>
      </c>
      <c r="AH22" s="47">
        <v>4411</v>
      </c>
      <c r="AI22" s="47">
        <v>4411</v>
      </c>
      <c r="AJ22" s="47">
        <v>4411</v>
      </c>
      <c r="AK22" s="47">
        <v>4411</v>
      </c>
      <c r="AL22" s="25"/>
      <c r="AM22" s="47"/>
      <c r="AN22" s="47"/>
      <c r="AO22" s="47"/>
      <c r="AP22" s="47"/>
      <c r="AQ22" s="25"/>
      <c r="AR22" s="47"/>
      <c r="AS22" s="47"/>
      <c r="AT22" s="47"/>
      <c r="AU22" s="47"/>
      <c r="AV22" s="31">
        <f>AW22+AX22+AY22+AZ22</f>
        <v>108000</v>
      </c>
      <c r="AW22" s="59">
        <v>27000</v>
      </c>
      <c r="AX22" s="59">
        <v>27000</v>
      </c>
      <c r="AY22" s="59">
        <v>27000</v>
      </c>
      <c r="AZ22" s="59">
        <v>27000</v>
      </c>
      <c r="BA22" s="15">
        <f t="shared" si="1"/>
        <v>840060</v>
      </c>
    </row>
    <row r="23" spans="1:53" s="67" customFormat="1">
      <c r="A23" s="111" t="s">
        <v>42</v>
      </c>
      <c r="B23" s="111"/>
      <c r="C23" s="124"/>
      <c r="D23" s="121"/>
      <c r="E23" s="121"/>
      <c r="F23" s="121"/>
      <c r="G23" s="121"/>
      <c r="H23" s="124"/>
      <c r="I23" s="121"/>
      <c r="J23" s="121"/>
      <c r="K23" s="121"/>
      <c r="L23" s="121"/>
      <c r="M23" s="65">
        <f>M21+M22</f>
        <v>16212</v>
      </c>
      <c r="N23" s="66">
        <f t="shared" ref="N23:Q23" si="40">N21+N22</f>
        <v>4053</v>
      </c>
      <c r="O23" s="66">
        <f t="shared" si="40"/>
        <v>4053</v>
      </c>
      <c r="P23" s="66">
        <f t="shared" si="40"/>
        <v>4053</v>
      </c>
      <c r="Q23" s="66">
        <f t="shared" si="40"/>
        <v>4053</v>
      </c>
      <c r="R23" s="68"/>
      <c r="S23" s="60"/>
      <c r="T23" s="60"/>
      <c r="U23" s="61"/>
      <c r="V23" s="62"/>
      <c r="W23" s="63">
        <f>W21+W22</f>
        <v>2208940</v>
      </c>
      <c r="X23" s="63">
        <f t="shared" ref="X23:AA23" si="41">X21+X22</f>
        <v>552235</v>
      </c>
      <c r="Y23" s="63">
        <f t="shared" si="41"/>
        <v>552235</v>
      </c>
      <c r="Z23" s="63">
        <f t="shared" si="41"/>
        <v>552235</v>
      </c>
      <c r="AA23" s="63">
        <f t="shared" si="41"/>
        <v>552235</v>
      </c>
      <c r="AB23" s="64">
        <f>AB21+AB22</f>
        <v>101032</v>
      </c>
      <c r="AC23" s="64">
        <f t="shared" ref="AC23:AF23" si="42">AC21+AC22</f>
        <v>25258</v>
      </c>
      <c r="AD23" s="64">
        <f t="shared" si="42"/>
        <v>25258</v>
      </c>
      <c r="AE23" s="64">
        <f t="shared" si="42"/>
        <v>25258</v>
      </c>
      <c r="AF23" s="64">
        <f t="shared" si="42"/>
        <v>25258</v>
      </c>
      <c r="AG23" s="60">
        <f>AG21+AG22</f>
        <v>155288</v>
      </c>
      <c r="AH23" s="60">
        <f t="shared" ref="AH23:AK23" si="43">AH21+AH22</f>
        <v>38822</v>
      </c>
      <c r="AI23" s="60">
        <f t="shared" si="43"/>
        <v>38822</v>
      </c>
      <c r="AJ23" s="60">
        <f t="shared" si="43"/>
        <v>38822</v>
      </c>
      <c r="AK23" s="60">
        <f t="shared" si="43"/>
        <v>38822</v>
      </c>
      <c r="AL23" s="61">
        <f>AL21+AL22</f>
        <v>250000</v>
      </c>
      <c r="AM23" s="61">
        <f t="shared" ref="AM23:AP23" si="44">AM21+AM22</f>
        <v>62500</v>
      </c>
      <c r="AN23" s="61">
        <f t="shared" si="44"/>
        <v>62500</v>
      </c>
      <c r="AO23" s="61">
        <f t="shared" si="44"/>
        <v>62500</v>
      </c>
      <c r="AP23" s="61">
        <f t="shared" si="44"/>
        <v>62500</v>
      </c>
      <c r="AQ23" s="61">
        <f>AQ21+AQ22</f>
        <v>50000</v>
      </c>
      <c r="AR23" s="61">
        <f t="shared" ref="AR23:AU23" si="45">AR21+AR22</f>
        <v>12500</v>
      </c>
      <c r="AS23" s="61">
        <f t="shared" si="45"/>
        <v>12500</v>
      </c>
      <c r="AT23" s="61">
        <f t="shared" si="45"/>
        <v>12500</v>
      </c>
      <c r="AU23" s="61">
        <f t="shared" si="45"/>
        <v>12500</v>
      </c>
      <c r="AV23" s="65">
        <f>AV21+AV22</f>
        <v>410000</v>
      </c>
      <c r="AW23" s="65">
        <f t="shared" ref="AW23:AZ23" si="46">AW21+AW22</f>
        <v>102500</v>
      </c>
      <c r="AX23" s="65">
        <f t="shared" si="46"/>
        <v>102500</v>
      </c>
      <c r="AY23" s="65">
        <f t="shared" si="46"/>
        <v>102500</v>
      </c>
      <c r="AZ23" s="65">
        <f t="shared" si="46"/>
        <v>102500</v>
      </c>
      <c r="BA23" s="15">
        <f t="shared" si="1"/>
        <v>3191472</v>
      </c>
    </row>
    <row r="24" spans="1:53" s="71" customFormat="1" ht="15.75">
      <c r="A24" s="106" t="s">
        <v>43</v>
      </c>
      <c r="B24" s="106"/>
      <c r="C24" s="69">
        <f t="shared" ref="C24:L24" si="47">C3+C6+C7+C8+C9+C10+C11+C12+C13+C14+C17+C20+C23</f>
        <v>1171800</v>
      </c>
      <c r="D24" s="69">
        <f t="shared" si="47"/>
        <v>292900</v>
      </c>
      <c r="E24" s="69">
        <f t="shared" si="47"/>
        <v>292900</v>
      </c>
      <c r="F24" s="69">
        <f t="shared" si="47"/>
        <v>292900</v>
      </c>
      <c r="G24" s="69">
        <f t="shared" si="47"/>
        <v>293100</v>
      </c>
      <c r="H24" s="69">
        <f>H3+H6+H7+H8+H9+H10+H11+H12+H13+H14+H17+H20+H23</f>
        <v>353800</v>
      </c>
      <c r="I24" s="69">
        <f t="shared" si="47"/>
        <v>88400</v>
      </c>
      <c r="J24" s="69">
        <f t="shared" si="47"/>
        <v>88400</v>
      </c>
      <c r="K24" s="69">
        <f t="shared" si="47"/>
        <v>88400</v>
      </c>
      <c r="L24" s="69">
        <f t="shared" si="47"/>
        <v>88600</v>
      </c>
      <c r="M24" s="69">
        <f>M3+M6+M7+M8+M9+M10+M11+M12+M13+M14+M17+M20+M23</f>
        <v>204500</v>
      </c>
      <c r="N24" s="70">
        <f t="shared" ref="N24:Q24" si="48">N3+N6+N7+N8+N9+N10+N11+N12+N13+N14+N17+N20+N23</f>
        <v>51100</v>
      </c>
      <c r="O24" s="70">
        <f t="shared" si="48"/>
        <v>51100</v>
      </c>
      <c r="P24" s="70">
        <f t="shared" si="48"/>
        <v>51100</v>
      </c>
      <c r="Q24" s="70">
        <f t="shared" si="48"/>
        <v>51200</v>
      </c>
      <c r="R24" s="70">
        <f t="shared" ref="R24" si="49">R3+R6+R7+R8+R9+R10+R11+R12+R13+R14+R17+R20+R23</f>
        <v>20000</v>
      </c>
      <c r="S24" s="70">
        <f t="shared" ref="S24" si="50">S3+S6+S7+S8+S9+S10+S11+S12+S13+S14+S17+S20+S23</f>
        <v>5000</v>
      </c>
      <c r="T24" s="70">
        <f t="shared" ref="T24" si="51">T3+T6+T7+T8+T9+T10+T11+T12+T13+T14+T17+T20+T23</f>
        <v>5000</v>
      </c>
      <c r="U24" s="70">
        <f t="shared" ref="U24" si="52">U3+U6+U7+U8+U9+U10+U11+U12+U13+U14+U17+U20+U23</f>
        <v>5000</v>
      </c>
      <c r="V24" s="70">
        <f t="shared" ref="V24" si="53">V3+V6+V7+V8+V9+V10+V11+V12+V13+V14+V17+V20+V23</f>
        <v>5000</v>
      </c>
      <c r="W24" s="70">
        <f t="shared" ref="W24" si="54">W3+W6+W7+W8+W9+W10+W11+W12+W13+W14+W17+W20+W23</f>
        <v>16064400</v>
      </c>
      <c r="X24" s="70">
        <f t="shared" ref="X24" si="55">X3+X6+X7+X8+X9+X10+X11+X12+X13+X14+X17+X20+X23</f>
        <v>4016100</v>
      </c>
      <c r="Y24" s="70">
        <f t="shared" ref="Y24" si="56">Y3+Y6+Y7+Y8+Y9+Y10+Y11+Y12+Y13+Y14+Y17+Y20+Y23</f>
        <v>4016100</v>
      </c>
      <c r="Z24" s="70">
        <f t="shared" ref="Z24" si="57">Z3+Z6+Z7+Z8+Z9+Z10+Z11+Z12+Z13+Z14+Z17+Z20+Z23</f>
        <v>4016100</v>
      </c>
      <c r="AA24" s="70">
        <f t="shared" ref="AA24" si="58">AA3+AA6+AA7+AA8+AA9+AA10+AA11+AA12+AA13+AA14+AA17+AA20+AA23</f>
        <v>4016100</v>
      </c>
      <c r="AB24" s="70">
        <f t="shared" ref="AB24" si="59">AB3+AB6+AB7+AB8+AB9+AB10+AB11+AB12+AB13+AB14+AB17+AB20+AB23</f>
        <v>597500</v>
      </c>
      <c r="AC24" s="70">
        <f t="shared" ref="AC24" si="60">AC3+AC6+AC7+AC8+AC9+AC10+AC11+AC12+AC13+AC14+AC17+AC20+AC23</f>
        <v>149300</v>
      </c>
      <c r="AD24" s="70">
        <f t="shared" ref="AD24" si="61">AD3+AD6+AD7+AD8+AD9+AD10+AD11+AD12+AD13+AD14+AD17+AD20+AD23</f>
        <v>149300</v>
      </c>
      <c r="AE24" s="70">
        <f t="shared" ref="AE24" si="62">AE3+AE6+AE7+AE8+AE9+AE10+AE11+AE12+AE13+AE14+AE17+AE20+AE23</f>
        <v>149300</v>
      </c>
      <c r="AF24" s="70">
        <f t="shared" ref="AF24" si="63">AF3+AF6+AF7+AF8+AF9+AF10+AF11+AF12+AF13+AF14+AF17+AF20+AF23</f>
        <v>149600</v>
      </c>
      <c r="AG24" s="70">
        <f t="shared" ref="AG24" si="64">AG3+AG6+AG7+AG8+AG9+AG10+AG11+AG12+AG13+AG14+AG17+AG20+AG23</f>
        <v>863200</v>
      </c>
      <c r="AH24" s="70">
        <f t="shared" ref="AH24" si="65">AH3+AH6+AH7+AH8+AH9+AH10+AH11+AH12+AH13+AH14+AH17+AH20+AH23</f>
        <v>215800</v>
      </c>
      <c r="AI24" s="70">
        <f t="shared" ref="AI24" si="66">AI3+AI6+AI7+AI8+AI9+AI10+AI11+AI12+AI13+AI14+AI17+AI20+AI23</f>
        <v>215800</v>
      </c>
      <c r="AJ24" s="70">
        <f t="shared" ref="AJ24" si="67">AJ3+AJ6+AJ7+AJ8+AJ9+AJ10+AJ11+AJ12+AJ13+AJ14+AJ17+AJ20+AJ23</f>
        <v>215800</v>
      </c>
      <c r="AK24" s="70">
        <f t="shared" ref="AK24" si="68">AK3+AK6+AK7+AK8+AK9+AK10+AK11+AK12+AK13+AK14+AK17+AK20+AK23</f>
        <v>215800</v>
      </c>
      <c r="AL24" s="70">
        <f t="shared" ref="AL24" si="69">AL3+AL6+AL7+AL8+AL9+AL10+AL11+AL12+AL13+AL14+AL17+AL20+AL23</f>
        <v>881000</v>
      </c>
      <c r="AM24" s="70">
        <f t="shared" ref="AM24" si="70">AM3+AM6+AM7+AM8+AM9+AM10+AM11+AM12+AM13+AM14+AM17+AM20+AM23</f>
        <v>220200</v>
      </c>
      <c r="AN24" s="70">
        <f t="shared" ref="AN24" si="71">AN3+AN6+AN7+AN8+AN9+AN10+AN11+AN12+AN13+AN14+AN17+AN20+AN23</f>
        <v>220200</v>
      </c>
      <c r="AO24" s="70">
        <f t="shared" ref="AO24" si="72">AO3+AO6+AO7+AO8+AO9+AO10+AO11+AO12+AO13+AO14+AO17+AO20+AO23</f>
        <v>220200</v>
      </c>
      <c r="AP24" s="70">
        <f t="shared" ref="AP24:AQ24" si="73">AP3+AP6+AP7+AP8+AP9+AP10+AP11+AP12+AP13+AP14+AP17+AP20+AP23</f>
        <v>220400</v>
      </c>
      <c r="AQ24" s="70">
        <f t="shared" si="73"/>
        <v>110000</v>
      </c>
      <c r="AR24" s="70">
        <f t="shared" ref="AR24" si="74">AR3+AR6+AR7+AR8+AR9+AR10+AR11+AR12+AR13+AR14+AR17+AR20+AR23</f>
        <v>27500</v>
      </c>
      <c r="AS24" s="70">
        <f t="shared" ref="AS24" si="75">AS3+AS6+AS7+AS8+AS9+AS10+AS11+AS12+AS13+AS14+AS17+AS20+AS23</f>
        <v>27500</v>
      </c>
      <c r="AT24" s="70">
        <f t="shared" ref="AT24" si="76">AT3+AT6+AT7+AT8+AT9+AT10+AT11+AT12+AT13+AT14+AT17+AT20+AT23</f>
        <v>27500</v>
      </c>
      <c r="AU24" s="70">
        <f t="shared" ref="AU24" si="77">AU3+AU6+AU7+AU8+AU9+AU10+AU11+AU12+AU13+AU14+AU17+AU20+AU23</f>
        <v>27500</v>
      </c>
      <c r="AV24" s="70">
        <f t="shared" ref="AV24" si="78">AV3+AV6+AV7+AV8+AV9+AV10+AV11+AV12+AV13+AV14+AV17+AV20+AV23</f>
        <v>3611600</v>
      </c>
      <c r="AW24" s="70">
        <f t="shared" ref="AW24" si="79">AW3+AW6+AW7+AW8+AW9+AW10+AW11+AW12+AW13+AW14+AW17+AW20+AW23</f>
        <v>902900</v>
      </c>
      <c r="AX24" s="70">
        <f t="shared" ref="AX24" si="80">AX3+AX6+AX7+AX8+AX9+AX10+AX11+AX12+AX13+AX14+AX17+AX20+AX23</f>
        <v>902900</v>
      </c>
      <c r="AY24" s="70">
        <f t="shared" ref="AY24" si="81">AY3+AY6+AY7+AY8+AY9+AY10+AY11+AY12+AY13+AY14+AY17+AY20+AY23</f>
        <v>902900</v>
      </c>
      <c r="AZ24" s="70">
        <f t="shared" ref="AZ24" si="82">AZ3+AZ6+AZ7+AZ8+AZ9+AZ10+AZ11+AZ12+AZ13+AZ14+AZ17+AZ20+AZ23</f>
        <v>902900</v>
      </c>
      <c r="BA24" s="15">
        <f t="shared" si="1"/>
        <v>23877800</v>
      </c>
    </row>
    <row r="25" spans="1:53">
      <c r="M25" s="12"/>
      <c r="W25" s="12"/>
      <c r="AB25" s="12"/>
      <c r="AG25" s="12"/>
      <c r="AH25" s="118"/>
      <c r="AI25" s="118"/>
      <c r="AJ25" s="118"/>
      <c r="AK25" s="118"/>
      <c r="AL25" s="119"/>
      <c r="AM25" s="118"/>
      <c r="AN25" s="118"/>
      <c r="AO25" s="118"/>
      <c r="AP25" s="118"/>
      <c r="AQ25" s="119"/>
      <c r="AR25" s="117"/>
      <c r="AV25" s="12"/>
      <c r="AW25" s="35"/>
      <c r="AX25" s="35"/>
      <c r="AY25" s="35"/>
      <c r="AZ25" s="35"/>
      <c r="BA25" s="12"/>
    </row>
    <row r="26" spans="1:53">
      <c r="M26" s="12"/>
      <c r="W26" s="12"/>
      <c r="AB26" s="12"/>
      <c r="AG26" s="12"/>
      <c r="AH26" s="118"/>
      <c r="AI26" s="118"/>
      <c r="AJ26" s="118"/>
      <c r="AK26" s="118"/>
      <c r="AL26" s="119"/>
      <c r="AM26" s="118"/>
      <c r="AN26" s="118"/>
      <c r="AO26" s="118"/>
      <c r="AP26" s="118"/>
      <c r="AQ26" s="119"/>
      <c r="AR26" s="117"/>
      <c r="AV26" s="12"/>
      <c r="BA26" s="12"/>
    </row>
    <row r="27" spans="1:53">
      <c r="M27" s="12"/>
      <c r="W27" s="12"/>
      <c r="AB27" s="12"/>
      <c r="AG27" s="12"/>
      <c r="AH27" s="118"/>
      <c r="AI27" s="118"/>
      <c r="AJ27" s="118"/>
      <c r="AK27" s="118"/>
      <c r="AL27" s="119"/>
      <c r="AM27" s="118"/>
      <c r="AN27" s="118"/>
      <c r="AO27" s="118"/>
      <c r="AP27" s="118"/>
      <c r="AQ27" s="119"/>
      <c r="AR27" s="117"/>
      <c r="AV27" s="12"/>
      <c r="BA27" s="12"/>
    </row>
    <row r="28" spans="1:53">
      <c r="M28" s="12"/>
      <c r="W28" s="12"/>
      <c r="AB28" s="12"/>
      <c r="AG28" s="12"/>
      <c r="AH28" s="118"/>
      <c r="AI28" s="118"/>
      <c r="AJ28" s="118"/>
      <c r="AK28" s="118"/>
      <c r="AL28" s="119"/>
      <c r="AM28" s="118"/>
      <c r="AN28" s="118"/>
      <c r="AO28" s="118"/>
      <c r="AP28" s="118"/>
      <c r="AQ28" s="119"/>
      <c r="AR28" s="117"/>
      <c r="AV28" s="12"/>
      <c r="BA28" s="12"/>
    </row>
    <row r="29" spans="1:53">
      <c r="M29" s="12"/>
      <c r="W29" s="12"/>
      <c r="AB29" s="12"/>
      <c r="AF29" s="12">
        <f>SUM(AF27:AF28)</f>
        <v>0</v>
      </c>
      <c r="AG29" s="12"/>
      <c r="AH29" s="118"/>
      <c r="AI29" s="118"/>
      <c r="AJ29" s="118"/>
      <c r="AK29" s="118"/>
      <c r="AL29" s="119"/>
      <c r="AM29" s="118"/>
      <c r="AN29" s="118"/>
      <c r="AO29" s="118"/>
      <c r="AP29" s="118"/>
      <c r="AQ29" s="119"/>
      <c r="AR29" s="117"/>
      <c r="AV29" s="12"/>
      <c r="BA29" s="12"/>
    </row>
    <row r="30" spans="1:53">
      <c r="M30" s="12"/>
      <c r="W30" s="12"/>
      <c r="AB30" s="12"/>
      <c r="AF30" s="12">
        <f>AF29-AF26</f>
        <v>0</v>
      </c>
      <c r="AG30" s="12"/>
      <c r="AH30" s="118"/>
      <c r="AI30" s="118"/>
      <c r="AJ30" s="118"/>
      <c r="AK30" s="118"/>
      <c r="AL30" s="119"/>
      <c r="AM30" s="118"/>
      <c r="AN30" s="118"/>
      <c r="AO30" s="118"/>
      <c r="AP30" s="118"/>
      <c r="AQ30" s="119"/>
      <c r="AR30" s="117"/>
      <c r="AV30" s="12"/>
      <c r="BA30" s="12"/>
    </row>
    <row r="31" spans="1:53">
      <c r="M31" s="12"/>
      <c r="W31" s="12"/>
      <c r="AB31" s="12"/>
      <c r="AG31" s="12"/>
      <c r="AH31" s="118"/>
      <c r="AI31" s="118"/>
      <c r="AJ31" s="118"/>
      <c r="AK31" s="118"/>
      <c r="AL31" s="119"/>
      <c r="AM31" s="118"/>
      <c r="AN31" s="118"/>
      <c r="AO31" s="118"/>
      <c r="AP31" s="118"/>
      <c r="AQ31" s="119"/>
      <c r="AR31" s="117"/>
      <c r="AV31" s="12"/>
      <c r="BA31" s="12"/>
    </row>
    <row r="32" spans="1:53">
      <c r="M32" s="12"/>
      <c r="W32" s="12"/>
      <c r="AB32" s="12"/>
      <c r="AG32" s="12"/>
      <c r="AH32" s="118"/>
      <c r="AI32" s="118"/>
      <c r="AJ32" s="118"/>
      <c r="AK32" s="118"/>
      <c r="AL32" s="119"/>
      <c r="AM32" s="118"/>
      <c r="AN32" s="118"/>
      <c r="AO32" s="118"/>
      <c r="AP32" s="118"/>
      <c r="AQ32" s="119"/>
      <c r="AR32" s="117"/>
      <c r="AV32" s="12"/>
      <c r="BA32" s="12"/>
    </row>
    <row r="33" spans="13:53">
      <c r="M33" s="12"/>
      <c r="W33" s="12"/>
      <c r="AB33" s="12"/>
      <c r="AG33" s="12"/>
      <c r="AH33" s="118"/>
      <c r="AI33" s="118"/>
      <c r="AJ33" s="118"/>
      <c r="AK33" s="118"/>
      <c r="AL33" s="119"/>
      <c r="AM33" s="118"/>
      <c r="AN33" s="118"/>
      <c r="AO33" s="118"/>
      <c r="AP33" s="118"/>
      <c r="AQ33" s="119"/>
      <c r="AR33" s="117"/>
      <c r="AV33" s="12"/>
      <c r="BA33" s="12"/>
    </row>
    <row r="34" spans="13:53">
      <c r="M34" s="12"/>
      <c r="W34" s="12"/>
      <c r="AB34" s="12"/>
      <c r="AG34" s="12"/>
      <c r="AH34" s="118"/>
      <c r="AI34" s="118"/>
      <c r="AJ34" s="118"/>
      <c r="AK34" s="118"/>
      <c r="AL34" s="119"/>
      <c r="AM34" s="118"/>
      <c r="AN34" s="118"/>
      <c r="AO34" s="118"/>
      <c r="AP34" s="118"/>
      <c r="AQ34" s="119"/>
      <c r="AR34" s="117"/>
      <c r="AV34" s="12"/>
      <c r="BA34" s="12"/>
    </row>
    <row r="35" spans="13:53">
      <c r="M35" s="12"/>
      <c r="W35" s="12"/>
      <c r="AB35" s="12"/>
      <c r="AG35" s="12"/>
      <c r="AH35" s="118"/>
      <c r="AI35" s="118"/>
      <c r="AJ35" s="118"/>
      <c r="AK35" s="118"/>
      <c r="AL35" s="119"/>
      <c r="AM35" s="118"/>
      <c r="AN35" s="118"/>
      <c r="AO35" s="118"/>
      <c r="AP35" s="118"/>
      <c r="AQ35" s="119"/>
      <c r="AR35" s="117"/>
      <c r="AV35" s="12"/>
      <c r="BA35" s="12"/>
    </row>
    <row r="36" spans="13:53">
      <c r="M36" s="12"/>
      <c r="W36" s="12"/>
      <c r="AB36" s="12"/>
      <c r="AG36" s="12"/>
      <c r="AH36" s="118"/>
      <c r="AI36" s="118"/>
      <c r="AJ36" s="118"/>
      <c r="AK36" s="118"/>
      <c r="AL36" s="119"/>
      <c r="AM36" s="118"/>
      <c r="AN36" s="118"/>
      <c r="AO36" s="118"/>
      <c r="AP36" s="118"/>
      <c r="AQ36" s="119"/>
      <c r="AR36" s="117"/>
      <c r="AV36" s="12"/>
      <c r="BA36" s="12"/>
    </row>
    <row r="37" spans="13:53">
      <c r="M37" s="12"/>
      <c r="W37" s="12"/>
      <c r="AB37" s="12"/>
      <c r="AG37" s="12"/>
      <c r="AH37" s="118"/>
      <c r="AI37" s="118"/>
      <c r="AJ37" s="118"/>
      <c r="AK37" s="118"/>
      <c r="AL37" s="119"/>
      <c r="AM37" s="118"/>
      <c r="AN37" s="118"/>
      <c r="AO37" s="118"/>
      <c r="AP37" s="118"/>
      <c r="AQ37" s="119"/>
      <c r="AR37" s="117"/>
      <c r="AV37" s="12"/>
      <c r="BA37" s="12"/>
    </row>
    <row r="38" spans="13:53">
      <c r="M38" s="12"/>
      <c r="W38" s="12"/>
      <c r="AB38" s="12"/>
      <c r="AG38" s="12"/>
      <c r="AH38" s="118"/>
      <c r="AI38" s="118"/>
      <c r="AJ38" s="118"/>
      <c r="AK38" s="118"/>
      <c r="AL38" s="119"/>
      <c r="AM38" s="118"/>
      <c r="AN38" s="118"/>
      <c r="AO38" s="118"/>
      <c r="AP38" s="118"/>
      <c r="AQ38" s="119"/>
      <c r="AR38" s="117"/>
      <c r="AV38" s="12"/>
      <c r="BA38" s="12"/>
    </row>
    <row r="39" spans="13:53">
      <c r="M39" s="12"/>
      <c r="W39" s="12"/>
      <c r="AB39" s="12"/>
      <c r="AG39" s="12"/>
      <c r="AH39" s="118"/>
      <c r="AI39" s="118"/>
      <c r="AJ39" s="118"/>
      <c r="AK39" s="118"/>
      <c r="AL39" s="119"/>
      <c r="AM39" s="118"/>
      <c r="AN39" s="118"/>
      <c r="AO39" s="118"/>
      <c r="AP39" s="118"/>
      <c r="AQ39" s="119"/>
      <c r="AR39" s="117"/>
      <c r="AV39" s="12"/>
      <c r="BA39" s="12"/>
    </row>
    <row r="40" spans="13:53">
      <c r="M40" s="12"/>
      <c r="W40" s="12"/>
      <c r="AB40" s="12"/>
      <c r="AG40" s="12"/>
      <c r="AH40" s="118"/>
      <c r="AI40" s="118"/>
      <c r="AJ40" s="118"/>
      <c r="AK40" s="118"/>
      <c r="AL40" s="119"/>
      <c r="AM40" s="118"/>
      <c r="AN40" s="118"/>
      <c r="AO40" s="118"/>
      <c r="AP40" s="118"/>
      <c r="AQ40" s="119"/>
      <c r="AR40" s="117"/>
      <c r="AV40" s="12"/>
      <c r="BA40" s="12"/>
    </row>
    <row r="41" spans="13:53">
      <c r="M41" s="12"/>
      <c r="W41" s="12"/>
      <c r="AB41" s="12"/>
      <c r="AG41" s="12"/>
      <c r="AH41" s="118"/>
      <c r="AI41" s="118"/>
      <c r="AJ41" s="118"/>
      <c r="AK41" s="118"/>
      <c r="AL41" s="119"/>
      <c r="AM41" s="118"/>
      <c r="AN41" s="118"/>
      <c r="AO41" s="118"/>
      <c r="AP41" s="118"/>
      <c r="AQ41" s="119"/>
      <c r="AR41" s="117"/>
      <c r="AV41" s="12"/>
      <c r="BA41" s="12"/>
    </row>
    <row r="42" spans="13:53">
      <c r="M42" s="12"/>
      <c r="W42" s="12"/>
      <c r="AB42" s="12"/>
      <c r="AG42" s="12"/>
      <c r="AH42" s="118"/>
      <c r="AI42" s="118"/>
      <c r="AJ42" s="118"/>
      <c r="AK42" s="118"/>
      <c r="AL42" s="119"/>
      <c r="AM42" s="118"/>
      <c r="AN42" s="118"/>
      <c r="AO42" s="118"/>
      <c r="AP42" s="118"/>
      <c r="AQ42" s="119"/>
      <c r="AR42" s="117"/>
      <c r="AV42" s="12"/>
      <c r="BA42" s="12"/>
    </row>
    <row r="43" spans="13:53">
      <c r="M43" s="12"/>
      <c r="W43" s="12"/>
      <c r="AB43" s="12"/>
      <c r="AG43" s="12"/>
      <c r="AH43" s="118"/>
      <c r="AI43" s="118"/>
      <c r="AJ43" s="118"/>
      <c r="AK43" s="118"/>
      <c r="AL43" s="119"/>
      <c r="AM43" s="118"/>
      <c r="AN43" s="118"/>
      <c r="AO43" s="118"/>
      <c r="AP43" s="118"/>
      <c r="AQ43" s="119"/>
      <c r="AR43" s="117"/>
      <c r="AV43" s="12"/>
      <c r="BA43" s="12"/>
    </row>
    <row r="44" spans="13:53">
      <c r="M44" s="12"/>
      <c r="W44" s="12"/>
      <c r="AB44" s="12"/>
      <c r="AG44" s="12"/>
      <c r="AH44" s="118"/>
      <c r="AI44" s="118"/>
      <c r="AJ44" s="118"/>
      <c r="AK44" s="118"/>
      <c r="AL44" s="119"/>
      <c r="AM44" s="118"/>
      <c r="AN44" s="118"/>
      <c r="AO44" s="118"/>
      <c r="AP44" s="118"/>
      <c r="AQ44" s="119"/>
      <c r="AR44" s="117"/>
      <c r="AV44" s="12"/>
      <c r="BA44" s="12"/>
    </row>
    <row r="45" spans="13:53">
      <c r="M45" s="12"/>
      <c r="W45" s="12"/>
      <c r="AB45" s="12"/>
      <c r="AG45" s="12"/>
      <c r="AH45" s="118"/>
      <c r="AI45" s="118"/>
      <c r="AJ45" s="118"/>
      <c r="AK45" s="118"/>
      <c r="AL45" s="119"/>
      <c r="AM45" s="118"/>
      <c r="AN45" s="118"/>
      <c r="AO45" s="118"/>
      <c r="AP45" s="118"/>
      <c r="AQ45" s="119"/>
      <c r="AR45" s="117"/>
      <c r="AV45" s="12"/>
      <c r="BA45" s="12"/>
    </row>
    <row r="46" spans="13:53">
      <c r="W46" s="12"/>
      <c r="AB46" s="12"/>
      <c r="AG46" s="12"/>
      <c r="AH46" s="118"/>
      <c r="AI46" s="118"/>
      <c r="AJ46" s="118"/>
      <c r="AK46" s="118"/>
      <c r="AL46" s="119"/>
      <c r="AM46" s="118"/>
      <c r="AN46" s="118"/>
      <c r="AO46" s="118"/>
      <c r="AP46" s="118"/>
      <c r="AQ46" s="119"/>
      <c r="AR46" s="117"/>
      <c r="AV46" s="12"/>
      <c r="BA46" s="12"/>
    </row>
    <row r="47" spans="13:53">
      <c r="AG47" s="12"/>
      <c r="AH47" s="118"/>
      <c r="AI47" s="118"/>
      <c r="AJ47" s="118"/>
      <c r="AK47" s="118"/>
      <c r="AL47" s="119"/>
      <c r="AM47" s="118"/>
      <c r="AN47" s="118"/>
      <c r="AO47" s="118"/>
      <c r="AP47" s="118"/>
      <c r="AQ47" s="119"/>
      <c r="AR47" s="117"/>
      <c r="AV47" s="12"/>
      <c r="BA47" s="12"/>
    </row>
    <row r="48" spans="13:53">
      <c r="AH48" s="118"/>
      <c r="AI48" s="118"/>
      <c r="AJ48" s="118"/>
      <c r="AK48" s="118"/>
      <c r="AL48" s="119"/>
      <c r="AM48" s="118"/>
      <c r="AN48" s="118"/>
      <c r="AO48" s="118"/>
      <c r="AP48" s="118"/>
      <c r="AQ48" s="119"/>
      <c r="AR48" s="117"/>
      <c r="BA48" s="12"/>
    </row>
    <row r="49" spans="34:53">
      <c r="AH49" s="118"/>
      <c r="AI49" s="118"/>
      <c r="AJ49" s="118"/>
      <c r="AK49" s="118"/>
      <c r="AL49" s="119"/>
      <c r="AM49" s="118"/>
      <c r="AN49" s="118"/>
      <c r="AO49" s="118"/>
      <c r="AP49" s="118"/>
      <c r="AQ49" s="119"/>
      <c r="AR49" s="117"/>
      <c r="BA49" s="12"/>
    </row>
    <row r="50" spans="34:53">
      <c r="AH50" s="118"/>
      <c r="AI50" s="118"/>
      <c r="AJ50" s="118"/>
      <c r="AK50" s="118"/>
      <c r="AL50" s="119"/>
      <c r="AM50" s="118"/>
      <c r="AN50" s="118"/>
      <c r="AO50" s="118"/>
      <c r="AP50" s="118"/>
      <c r="AQ50" s="119"/>
      <c r="AR50" s="117"/>
      <c r="BA50" s="12"/>
    </row>
    <row r="51" spans="34:53">
      <c r="AH51" s="118"/>
      <c r="AI51" s="118"/>
      <c r="AJ51" s="118"/>
      <c r="AK51" s="118"/>
      <c r="AL51" s="119"/>
      <c r="AM51" s="118"/>
      <c r="AN51" s="118"/>
      <c r="AO51" s="118"/>
      <c r="AP51" s="118"/>
      <c r="AQ51" s="119"/>
      <c r="AR51" s="117"/>
      <c r="BA51" s="12"/>
    </row>
    <row r="52" spans="34:53">
      <c r="AH52" s="118"/>
      <c r="AI52" s="118"/>
      <c r="AJ52" s="118"/>
      <c r="AK52" s="118"/>
      <c r="AL52" s="119"/>
      <c r="AM52" s="118"/>
      <c r="AN52" s="118"/>
      <c r="AO52" s="118"/>
      <c r="AP52" s="118"/>
      <c r="AQ52" s="119"/>
      <c r="AR52" s="117"/>
    </row>
    <row r="53" spans="34:53">
      <c r="AH53" s="118"/>
      <c r="AI53" s="118"/>
      <c r="AJ53" s="118"/>
      <c r="AK53" s="118"/>
      <c r="AL53" s="119"/>
      <c r="AM53" s="118"/>
      <c r="AN53" s="118"/>
      <c r="AO53" s="118"/>
      <c r="AP53" s="118"/>
      <c r="AQ53" s="119"/>
      <c r="AR53" s="117"/>
    </row>
    <row r="54" spans="34:53">
      <c r="AH54" s="118"/>
      <c r="AI54" s="118"/>
      <c r="AJ54" s="118"/>
      <c r="AK54" s="118"/>
      <c r="AL54" s="119"/>
      <c r="AM54" s="118"/>
      <c r="AN54" s="118"/>
      <c r="AO54" s="118"/>
      <c r="AP54" s="118"/>
      <c r="AQ54" s="119"/>
      <c r="AR54" s="117"/>
    </row>
    <row r="55" spans="34:53">
      <c r="AH55" s="118"/>
      <c r="AI55" s="118"/>
      <c r="AJ55" s="118"/>
      <c r="AK55" s="118"/>
      <c r="AL55" s="119"/>
      <c r="AM55" s="118"/>
      <c r="AN55" s="118"/>
      <c r="AO55" s="118"/>
      <c r="AP55" s="118"/>
      <c r="AQ55" s="119"/>
      <c r="AR55" s="117"/>
    </row>
    <row r="56" spans="34:53">
      <c r="AH56" s="118"/>
      <c r="AI56" s="118"/>
      <c r="AJ56" s="118"/>
      <c r="AK56" s="118"/>
      <c r="AL56" s="119"/>
      <c r="AM56" s="118"/>
      <c r="AN56" s="118"/>
      <c r="AO56" s="118"/>
      <c r="AP56" s="118"/>
      <c r="AQ56" s="119"/>
      <c r="AR56" s="117"/>
    </row>
    <row r="57" spans="34:53">
      <c r="AH57" s="118"/>
      <c r="AI57" s="118"/>
      <c r="AJ57" s="118"/>
      <c r="AK57" s="118"/>
      <c r="AL57" s="119"/>
      <c r="AM57" s="118"/>
      <c r="AN57" s="118"/>
      <c r="AO57" s="118"/>
      <c r="AP57" s="118"/>
      <c r="AQ57" s="119"/>
      <c r="AR57" s="117"/>
    </row>
  </sheetData>
  <mergeCells count="29">
    <mergeCell ref="AH1:AK1"/>
    <mergeCell ref="AM1:AP1"/>
    <mergeCell ref="AR1:AU1"/>
    <mergeCell ref="AW1:AZ1"/>
    <mergeCell ref="A23:B23"/>
    <mergeCell ref="A16:B16"/>
    <mergeCell ref="A9:B9"/>
    <mergeCell ref="A10:B10"/>
    <mergeCell ref="A11:B11"/>
    <mergeCell ref="A12:B12"/>
    <mergeCell ref="A3:B3"/>
    <mergeCell ref="A4:B4"/>
    <mergeCell ref="A5:B5"/>
    <mergeCell ref="A6:B6"/>
    <mergeCell ref="A7:B7"/>
    <mergeCell ref="X1:AA1"/>
    <mergeCell ref="A17:B17"/>
    <mergeCell ref="A18:B18"/>
    <mergeCell ref="A19:B19"/>
    <mergeCell ref="A20:B20"/>
    <mergeCell ref="A13:B13"/>
    <mergeCell ref="A14:B14"/>
    <mergeCell ref="A15:B15"/>
    <mergeCell ref="A8:B8"/>
    <mergeCell ref="A24:B24"/>
    <mergeCell ref="N1:Q1"/>
    <mergeCell ref="S1:V1"/>
    <mergeCell ref="A21:B21"/>
    <mergeCell ref="A22:B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смета 2020</vt:lpstr>
      <vt:lpstr>по кварталам</vt:lpstr>
      <vt:lpstr>'смета 2020'!Область_печати</vt:lpstr>
    </vt:vector>
  </TitlesOfParts>
  <Company>Комитет по образованию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 Жигульский</dc:creator>
  <cp:lastModifiedBy>User</cp:lastModifiedBy>
  <cp:lastPrinted>2019-12-30T06:21:06Z</cp:lastPrinted>
  <dcterms:created xsi:type="dcterms:W3CDTF">2017-01-09T09:02:14Z</dcterms:created>
  <dcterms:modified xsi:type="dcterms:W3CDTF">2020-01-03T07:22:47Z</dcterms:modified>
</cp:coreProperties>
</file>